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showInkAnnotation="0" autoCompressPictures="0"/>
  <mc:AlternateContent xmlns:mc="http://schemas.openxmlformats.org/markup-compatibility/2006">
    <mc:Choice Requires="x15">
      <x15ac:absPath xmlns:x15ac="http://schemas.microsoft.com/office/spreadsheetml/2010/11/ac" url="/Users/matthias/Dropbox/Research/shared/Switch-Hawaii/data/EV Adoption/"/>
    </mc:Choice>
  </mc:AlternateContent>
  <xr:revisionPtr revIDLastSave="0" documentId="13_ncr:1_{8A6ACCDF-454E-DE4B-B38C-6A9F269B31CE}" xr6:coauthVersionLast="45" xr6:coauthVersionMax="45" xr10:uidLastSave="{00000000-0000-0000-0000-000000000000}"/>
  <bookViews>
    <workbookView xWindow="10760" yWindow="460" windowWidth="18240" windowHeight="16340" xr2:uid="{00CE80FB-542E-FC4C-9499-95548FE160E7}"/>
  </bookViews>
  <sheets>
    <sheet name="outputs" sheetId="3" r:id="rId1"/>
    <sheet name="HECO 2013" sheetId="1" r:id="rId2"/>
    <sheet name="BAU adoption" sheetId="2" r:id="rId3"/>
    <sheet name="EoT" sheetId="6" r:id="rId4"/>
    <sheet name="Vehicle profiles" sheetId="4" r:id="rId5"/>
    <sheet name="Private car charging" sheetId="5" r:id="rId6"/>
  </sheets>
  <definedNames>
    <definedName name="days_in_reference_year">'Vehicle profiles'!$C$64</definedName>
    <definedName name="ev_data">outputs!$A$13:$R$64</definedName>
    <definedName name="oahu_passenger_vehicles_gals_gas_per_year">'Vehicle profiles'!$F$67</definedName>
    <definedName name="private_ev_fleet_size">'Vehicle profiles'!$D$67</definedName>
    <definedName name="private_ev_home_charging_share">'Private car charging'!$C$18</definedName>
    <definedName name="private_ev_work_charging_share">'Private car charging'!$C$17</definedName>
    <definedName name="solver_adj" localSheetId="0" hidden="1">outputs!$B$8:$B$10</definedName>
    <definedName name="solver_cvg" localSheetId="0" hidden="1">0.0001</definedName>
    <definedName name="solver_drv" localSheetId="0" hidden="1">1</definedName>
    <definedName name="solver_eng" localSheetId="0" hidden="1">1</definedName>
    <definedName name="solver_itr" localSheetId="0" hidden="1">2147483647</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opt" localSheetId="0" hidden="1">outputs!$B$11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2</definedName>
    <definedName name="vehicle_data">'Vehicle profiles'!$B$66:$Q$72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34" i="6" l="1"/>
  <c r="B35" i="6" s="1"/>
  <c r="B36" i="6" s="1"/>
  <c r="B37" i="6" s="1"/>
  <c r="B38" i="6" s="1"/>
  <c r="A7" i="6"/>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L32" i="3" l="1" a="1"/>
  <c r="L32" i="3" s="1"/>
  <c r="B23" i="2"/>
  <c r="B22" i="2"/>
  <c r="C22" i="2" s="1"/>
  <c r="EE16" i="2"/>
  <c r="EF16" i="2"/>
  <c r="EG16" i="2"/>
  <c r="EH16" i="2"/>
  <c r="EI16" i="2"/>
  <c r="EJ16" i="2"/>
  <c r="EK16" i="2"/>
  <c r="EL16" i="2"/>
  <c r="EM16" i="2"/>
  <c r="EN16" i="2"/>
  <c r="EO16" i="2"/>
  <c r="EP16" i="2"/>
  <c r="EQ16" i="2"/>
  <c r="ER16" i="2"/>
  <c r="ES16" i="2"/>
  <c r="ET16" i="2"/>
  <c r="EU16" i="2"/>
  <c r="EV16" i="2"/>
  <c r="EW16" i="2"/>
  <c r="B25" i="2" l="1"/>
  <c r="C25" i="2" s="1"/>
  <c r="B26" i="2"/>
  <c r="C24" i="4"/>
  <c r="O72" i="4" s="1"/>
  <c r="N74" i="4"/>
  <c r="L69" i="4"/>
  <c r="L68" i="4"/>
  <c r="J69" i="4"/>
  <c r="J68" i="4"/>
  <c r="L71" i="4"/>
  <c r="K71" i="4"/>
  <c r="J71" i="4"/>
  <c r="C57" i="4"/>
  <c r="D71" i="4" s="1"/>
  <c r="S71" i="4" s="1"/>
  <c r="C56" i="4"/>
  <c r="C74" i="4" s="1"/>
  <c r="R74" i="4" s="1"/>
  <c r="D67" i="4"/>
  <c r="C38" i="4"/>
  <c r="C33" i="4"/>
  <c r="D68" i="4"/>
  <c r="F68" i="4"/>
  <c r="C39" i="4"/>
  <c r="C31" i="4"/>
  <c r="D69" i="4"/>
  <c r="F69" i="4"/>
  <c r="D70" i="4"/>
  <c r="C49" i="4"/>
  <c r="F70" i="4" s="1"/>
  <c r="C54" i="4"/>
  <c r="F72" i="4" s="1"/>
  <c r="C32" i="4"/>
  <c r="D72" i="4"/>
  <c r="I71" i="4"/>
  <c r="E97" i="4"/>
  <c r="C98" i="4" s="1"/>
  <c r="E104" i="4"/>
  <c r="E139" i="4" s="1"/>
  <c r="C139" i="4"/>
  <c r="O71" i="4"/>
  <c r="C25" i="4"/>
  <c r="C17" i="4"/>
  <c r="N67" i="4" s="1"/>
  <c r="M74" i="4" s="1"/>
  <c r="C99" i="4"/>
  <c r="G69" i="4"/>
  <c r="H11" i="5"/>
  <c r="H10" i="5"/>
  <c r="H9" i="5"/>
  <c r="H12" i="5"/>
  <c r="C10" i="5"/>
  <c r="C12" i="5"/>
  <c r="B142" i="4"/>
  <c r="B141" i="4"/>
  <c r="B140" i="4"/>
  <c r="B139" i="4"/>
  <c r="B136" i="4"/>
  <c r="B135" i="4"/>
  <c r="B134" i="4"/>
  <c r="B133" i="4"/>
  <c r="B128" i="4"/>
  <c r="B129" i="4"/>
  <c r="B130" i="4"/>
  <c r="B127" i="4"/>
  <c r="C158" i="4"/>
  <c r="C160" i="4" s="1"/>
  <c r="C161" i="4" s="1"/>
  <c r="C163" i="4" s="1"/>
  <c r="B147" i="4"/>
  <c r="B148" i="4"/>
  <c r="B149" i="4"/>
  <c r="B146" i="4"/>
  <c r="O62" i="4"/>
  <c r="O63" i="4"/>
  <c r="O58" i="4"/>
  <c r="O54" i="4"/>
  <c r="O48" i="4"/>
  <c r="O45" i="4"/>
  <c r="O97" i="4"/>
  <c r="O61" i="4"/>
  <c r="O53" i="4"/>
  <c r="O44" i="4"/>
  <c r="CU16" i="2"/>
  <c r="CV16" i="2"/>
  <c r="CW16" i="2"/>
  <c r="CX16" i="2"/>
  <c r="CY16" i="2"/>
  <c r="CZ16" i="2"/>
  <c r="DA16" i="2"/>
  <c r="DB16" i="2"/>
  <c r="DC16" i="2"/>
  <c r="DD16" i="2"/>
  <c r="DE16" i="2"/>
  <c r="DF16" i="2"/>
  <c r="DV16" i="2"/>
  <c r="DW16" i="2"/>
  <c r="DX16" i="2"/>
  <c r="DY16" i="2"/>
  <c r="DZ16" i="2"/>
  <c r="EA16" i="2"/>
  <c r="EB16" i="2"/>
  <c r="EC16" i="2"/>
  <c r="ED16" i="2"/>
  <c r="H9" i="3"/>
  <c r="H40" i="3" s="1"/>
  <c r="I40" i="3" s="1"/>
  <c r="H34" i="3"/>
  <c r="I34" i="3" s="1"/>
  <c r="H42" i="3"/>
  <c r="I42" i="3" s="1"/>
  <c r="D13" i="3"/>
  <c r="V13" i="3" s="1"/>
  <c r="E13" i="3"/>
  <c r="W13" i="3" s="1"/>
  <c r="F13" i="3"/>
  <c r="X13" i="3" s="1"/>
  <c r="C13" i="3"/>
  <c r="U13" i="3" s="1"/>
  <c r="B13" i="3"/>
  <c r="F7" i="3"/>
  <c r="F9" i="3"/>
  <c r="F9" i="1"/>
  <c r="F8" i="1"/>
  <c r="F7" i="1"/>
  <c r="F10" i="1"/>
  <c r="F43" i="1"/>
  <c r="F44" i="1" s="1"/>
  <c r="F41" i="1"/>
  <c r="F42" i="1" s="1"/>
  <c r="B20" i="2"/>
  <c r="B21" i="2" s="1"/>
  <c r="Y13" i="3"/>
  <c r="G26" i="3"/>
  <c r="G27" i="3"/>
  <c r="G28" i="3"/>
  <c r="G29" i="3"/>
  <c r="G30" i="3"/>
  <c r="G31" i="3"/>
  <c r="G32" i="3"/>
  <c r="G33" i="3"/>
  <c r="G34" i="3"/>
  <c r="G35" i="3"/>
  <c r="G36" i="3"/>
  <c r="G37" i="3"/>
  <c r="G38" i="3"/>
  <c r="G39" i="3"/>
  <c r="G40" i="3"/>
  <c r="G41" i="3"/>
  <c r="G42" i="3"/>
  <c r="G43" i="3"/>
  <c r="G44" i="3"/>
  <c r="G45" i="3"/>
  <c r="G46" i="3"/>
  <c r="G47" i="3"/>
  <c r="G11" i="3"/>
  <c r="E7" i="3"/>
  <c r="D7" i="3"/>
  <c r="C7" i="3"/>
  <c r="B7" i="3"/>
  <c r="AD1" i="3"/>
  <c r="AC1" i="3"/>
  <c r="B3" i="3"/>
  <c r="Q7" i="3" s="1"/>
  <c r="Q8" i="3"/>
  <c r="R7" i="3"/>
  <c r="R36" i="3" s="1"/>
  <c r="A48" i="3"/>
  <c r="A49" i="3" s="1"/>
  <c r="O9" i="3"/>
  <c r="O27" i="3" s="1"/>
  <c r="E9" i="3"/>
  <c r="B19" i="2"/>
  <c r="J6" i="1"/>
  <c r="K6" i="1"/>
  <c r="L6" i="1"/>
  <c r="I6" i="1"/>
  <c r="AA13" i="3"/>
  <c r="Z13" i="3"/>
  <c r="T13" i="3"/>
  <c r="P9" i="3"/>
  <c r="P33" i="3" s="1"/>
  <c r="N7" i="3"/>
  <c r="N9" i="3" s="1"/>
  <c r="A29" i="1"/>
  <c r="E29" i="1" s="1"/>
  <c r="R29" i="1" s="1"/>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DG16" i="2"/>
  <c r="DH16" i="2"/>
  <c r="DI16" i="2"/>
  <c r="DJ16" i="2"/>
  <c r="DK16" i="2"/>
  <c r="DL16" i="2"/>
  <c r="DM16" i="2"/>
  <c r="DN16" i="2"/>
  <c r="DO16" i="2"/>
  <c r="DP16" i="2"/>
  <c r="DQ16" i="2"/>
  <c r="DR16" i="2"/>
  <c r="DS16" i="2"/>
  <c r="DT16" i="2"/>
  <c r="DU16" i="2"/>
  <c r="C16" i="2"/>
  <c r="C29" i="1"/>
  <c r="P27" i="1"/>
  <c r="Q27" i="1"/>
  <c r="R27" i="1"/>
  <c r="P28" i="1"/>
  <c r="Q28" i="1"/>
  <c r="R28" i="1"/>
  <c r="O28" i="1"/>
  <c r="O27" i="1"/>
  <c r="Q10" i="1"/>
  <c r="P10" i="1"/>
  <c r="E133" i="4" l="1"/>
  <c r="D129" i="4"/>
  <c r="D148" i="4" s="1"/>
  <c r="H69" i="4"/>
  <c r="M69" i="4" s="1"/>
  <c r="D29" i="1"/>
  <c r="Q29" i="1" s="1"/>
  <c r="N41" i="3"/>
  <c r="P29" i="3"/>
  <c r="O48" i="3"/>
  <c r="N27" i="3"/>
  <c r="P27" i="3"/>
  <c r="R44" i="3"/>
  <c r="P42" i="3"/>
  <c r="P41" i="3"/>
  <c r="P26" i="3"/>
  <c r="O40" i="3"/>
  <c r="B18" i="2"/>
  <c r="C129" i="4"/>
  <c r="C148" i="4" s="1"/>
  <c r="P74" i="4"/>
  <c r="C101" i="4"/>
  <c r="H47" i="3"/>
  <c r="I47" i="3" s="1"/>
  <c r="H39" i="3"/>
  <c r="I39" i="3" s="1"/>
  <c r="F128" i="4"/>
  <c r="F147" i="4" s="1"/>
  <c r="H46" i="3"/>
  <c r="I46" i="3" s="1"/>
  <c r="H38" i="3"/>
  <c r="I38" i="3" s="1"/>
  <c r="F135" i="4"/>
  <c r="D127" i="4"/>
  <c r="D146" i="4" s="1"/>
  <c r="D141" i="4"/>
  <c r="H44" i="3"/>
  <c r="I44" i="3" s="1"/>
  <c r="H36" i="3"/>
  <c r="I36" i="3" s="1"/>
  <c r="E135" i="4"/>
  <c r="C127" i="4"/>
  <c r="C141" i="4"/>
  <c r="P40" i="3"/>
  <c r="C134" i="4"/>
  <c r="F140" i="4"/>
  <c r="P37" i="3"/>
  <c r="H43" i="3"/>
  <c r="H35" i="3"/>
  <c r="F133" i="4"/>
  <c r="D139" i="4"/>
  <c r="F71" i="4"/>
  <c r="F67" i="4" s="1"/>
  <c r="E74" i="4" s="1"/>
  <c r="N28" i="3"/>
  <c r="N36" i="3"/>
  <c r="N44" i="3"/>
  <c r="N30" i="3"/>
  <c r="N38" i="3"/>
  <c r="N46" i="3"/>
  <c r="N31" i="3"/>
  <c r="N39" i="3"/>
  <c r="N47" i="3"/>
  <c r="N29" i="3"/>
  <c r="N42" i="3"/>
  <c r="N43" i="3"/>
  <c r="N49" i="3"/>
  <c r="N32" i="3"/>
  <c r="N33" i="3"/>
  <c r="N45" i="3"/>
  <c r="N35" i="3"/>
  <c r="N34" i="3"/>
  <c r="N48" i="3"/>
  <c r="H49" i="3"/>
  <c r="O49" i="3"/>
  <c r="G49" i="3"/>
  <c r="A50" i="3"/>
  <c r="N50" i="3" s="1"/>
  <c r="P49" i="3"/>
  <c r="P29" i="1"/>
  <c r="N40" i="3"/>
  <c r="N26" i="3"/>
  <c r="N37" i="3"/>
  <c r="P35" i="3"/>
  <c r="R8" i="3"/>
  <c r="E8" i="3" s="1"/>
  <c r="E11" i="3" s="1"/>
  <c r="C22" i="5"/>
  <c r="E14" i="5"/>
  <c r="G14" i="5"/>
  <c r="F14" i="5"/>
  <c r="H14" i="5"/>
  <c r="D14" i="5"/>
  <c r="F45" i="1"/>
  <c r="P48" i="3"/>
  <c r="P34" i="3"/>
  <c r="R27" i="3"/>
  <c r="F27" i="3" s="1"/>
  <c r="X27" i="3" s="1"/>
  <c r="R35" i="3"/>
  <c r="R43" i="3"/>
  <c r="R32" i="3"/>
  <c r="R40" i="3"/>
  <c r="R48" i="3"/>
  <c r="R29" i="3"/>
  <c r="R37" i="3"/>
  <c r="R45" i="3"/>
  <c r="R26" i="3"/>
  <c r="R34" i="3"/>
  <c r="R42" i="3"/>
  <c r="R50" i="3"/>
  <c r="R31" i="3"/>
  <c r="R39" i="3"/>
  <c r="R47" i="3"/>
  <c r="R28" i="3"/>
  <c r="R49" i="3"/>
  <c r="R41" i="3"/>
  <c r="R33" i="3"/>
  <c r="R46" i="3"/>
  <c r="R38" i="3"/>
  <c r="R30" i="3"/>
  <c r="C8" i="3"/>
  <c r="C11" i="3" s="1"/>
  <c r="E27" i="3"/>
  <c r="W27" i="3" s="1"/>
  <c r="L8" i="1" s="1"/>
  <c r="P28" i="3"/>
  <c r="P36" i="3"/>
  <c r="P44" i="3"/>
  <c r="P30" i="3"/>
  <c r="P38" i="3"/>
  <c r="P46" i="3"/>
  <c r="P31" i="3"/>
  <c r="P39" i="3"/>
  <c r="P47" i="3"/>
  <c r="P45" i="3"/>
  <c r="A30" i="1"/>
  <c r="B29" i="1"/>
  <c r="P43" i="3"/>
  <c r="P32" i="3"/>
  <c r="Q32" i="3"/>
  <c r="Q40" i="3"/>
  <c r="Q48" i="3"/>
  <c r="E48" i="3" s="1"/>
  <c r="W48" i="3" s="1"/>
  <c r="Q29" i="3"/>
  <c r="Q37" i="3"/>
  <c r="Q45" i="3"/>
  <c r="Q26" i="3"/>
  <c r="Q34" i="3"/>
  <c r="Q42" i="3"/>
  <c r="Q50" i="3"/>
  <c r="Q31" i="3"/>
  <c r="Q39" i="3"/>
  <c r="Q47" i="3"/>
  <c r="Q28" i="3"/>
  <c r="Q36" i="3"/>
  <c r="Q44" i="3"/>
  <c r="Q41" i="3"/>
  <c r="Q33" i="3"/>
  <c r="Q46" i="3"/>
  <c r="Q38" i="3"/>
  <c r="Y38" i="3" s="1"/>
  <c r="Q30" i="3"/>
  <c r="Q43" i="3"/>
  <c r="Q27" i="3"/>
  <c r="Q49" i="3"/>
  <c r="F8" i="3"/>
  <c r="F11" i="3" s="1"/>
  <c r="Q35" i="3"/>
  <c r="O29" i="3"/>
  <c r="O37" i="3"/>
  <c r="O45" i="3"/>
  <c r="O26" i="3"/>
  <c r="O34" i="3"/>
  <c r="O42" i="3"/>
  <c r="O31" i="3"/>
  <c r="O39" i="3"/>
  <c r="O47" i="3"/>
  <c r="O28" i="3"/>
  <c r="O36" i="3"/>
  <c r="O44" i="3"/>
  <c r="O33" i="3"/>
  <c r="O41" i="3"/>
  <c r="O32" i="3"/>
  <c r="O46" i="3"/>
  <c r="O38" i="3"/>
  <c r="O30" i="3"/>
  <c r="O43" i="3"/>
  <c r="O35" i="3"/>
  <c r="G48" i="3"/>
  <c r="H48" i="3"/>
  <c r="H72" i="4"/>
  <c r="R72" i="4" s="1"/>
  <c r="G72" i="4"/>
  <c r="E25" i="2"/>
  <c r="K26" i="3" s="1"/>
  <c r="S72" i="4"/>
  <c r="H67" i="4"/>
  <c r="R67" i="4" s="1"/>
  <c r="R69" i="4"/>
  <c r="H71" i="4"/>
  <c r="R71" i="4" s="1"/>
  <c r="G71" i="4"/>
  <c r="H70" i="4"/>
  <c r="R70" i="4" s="1"/>
  <c r="G70" i="4"/>
  <c r="C18" i="4"/>
  <c r="C26" i="2"/>
  <c r="B27" i="2"/>
  <c r="C146" i="4"/>
  <c r="H68" i="4"/>
  <c r="M68" i="4" s="1"/>
  <c r="S68" i="4" s="1"/>
  <c r="G68" i="4"/>
  <c r="D25" i="2"/>
  <c r="G7" i="1" s="1"/>
  <c r="D135" i="4"/>
  <c r="D133" i="4"/>
  <c r="E128" i="4"/>
  <c r="E147" i="4" s="1"/>
  <c r="E140" i="4"/>
  <c r="S67" i="4"/>
  <c r="C136" i="4"/>
  <c r="C142" i="4"/>
  <c r="C135" i="4"/>
  <c r="C133" i="4"/>
  <c r="D128" i="4"/>
  <c r="D147" i="4" s="1"/>
  <c r="F130" i="4"/>
  <c r="F149" i="4" s="1"/>
  <c r="D140" i="4"/>
  <c r="D136" i="4"/>
  <c r="D142" i="4"/>
  <c r="F134" i="4"/>
  <c r="C128" i="4"/>
  <c r="C147" i="4" s="1"/>
  <c r="E130" i="4"/>
  <c r="E149" i="4" s="1"/>
  <c r="C140" i="4"/>
  <c r="O70" i="4"/>
  <c r="S70" i="4"/>
  <c r="S69" i="4"/>
  <c r="H45" i="3"/>
  <c r="H41" i="3"/>
  <c r="H37" i="3"/>
  <c r="H33" i="3"/>
  <c r="E136" i="4"/>
  <c r="E142" i="4"/>
  <c r="E134" i="4"/>
  <c r="F129" i="4"/>
  <c r="F148" i="4" s="1"/>
  <c r="F127" i="4"/>
  <c r="F146" i="4" s="1"/>
  <c r="D130" i="4"/>
  <c r="D149" i="4" s="1"/>
  <c r="F141" i="4"/>
  <c r="F139" i="4"/>
  <c r="F136" i="4"/>
  <c r="F142" i="4"/>
  <c r="D134" i="4"/>
  <c r="E129" i="4"/>
  <c r="E148" i="4" s="1"/>
  <c r="E127" i="4"/>
  <c r="E146" i="4" s="1"/>
  <c r="C130" i="4"/>
  <c r="E141" i="4"/>
  <c r="Y31" i="3" l="1"/>
  <c r="Z35" i="3"/>
  <c r="Y39" i="3"/>
  <c r="G67" i="4"/>
  <c r="F15" i="5"/>
  <c r="Z27" i="3"/>
  <c r="Y47" i="3"/>
  <c r="Y37" i="3"/>
  <c r="Y43" i="3"/>
  <c r="Y48" i="3"/>
  <c r="D27" i="3"/>
  <c r="V27" i="3" s="1"/>
  <c r="K8" i="1" s="1"/>
  <c r="Y27" i="3"/>
  <c r="F29" i="3"/>
  <c r="X29" i="3" s="1"/>
  <c r="Z46" i="3"/>
  <c r="F40" i="3"/>
  <c r="X40" i="3" s="1"/>
  <c r="Y46" i="3"/>
  <c r="Y26" i="3"/>
  <c r="C155" i="4"/>
  <c r="C26" i="4" s="1"/>
  <c r="Z43" i="3"/>
  <c r="I35" i="3"/>
  <c r="AC2" i="3"/>
  <c r="I43" i="3"/>
  <c r="AC3" i="3"/>
  <c r="O69" i="4"/>
  <c r="O68" i="4"/>
  <c r="N70" i="4"/>
  <c r="P70" i="4" s="1"/>
  <c r="Q70" i="4" s="1"/>
  <c r="N71" i="4"/>
  <c r="P71" i="4" s="1"/>
  <c r="Q71" i="4" s="1"/>
  <c r="N72" i="4"/>
  <c r="P72" i="4" s="1"/>
  <c r="Q72" i="4" s="1"/>
  <c r="B41" i="3"/>
  <c r="T41" i="3" s="1"/>
  <c r="I22" i="1" s="1"/>
  <c r="C41" i="3"/>
  <c r="U41" i="3" s="1"/>
  <c r="J22" i="1" s="1"/>
  <c r="F41" i="3"/>
  <c r="X41" i="3" s="1"/>
  <c r="D41" i="3"/>
  <c r="V41" i="3" s="1"/>
  <c r="K22" i="1" s="1"/>
  <c r="E41" i="3"/>
  <c r="W41" i="3" s="1"/>
  <c r="L22" i="1" s="1"/>
  <c r="F42" i="3"/>
  <c r="X42" i="3" s="1"/>
  <c r="B42" i="3"/>
  <c r="T42" i="3" s="1"/>
  <c r="I23" i="1" s="1"/>
  <c r="D42" i="3"/>
  <c r="V42" i="3" s="1"/>
  <c r="K23" i="1" s="1"/>
  <c r="E42" i="3"/>
  <c r="W42" i="3" s="1"/>
  <c r="L23" i="1" s="1"/>
  <c r="C42" i="3"/>
  <c r="U42" i="3" s="1"/>
  <c r="J23" i="1" s="1"/>
  <c r="Z38" i="3"/>
  <c r="Y44" i="3"/>
  <c r="Z44" i="3"/>
  <c r="B40" i="3"/>
  <c r="T40" i="3" s="1"/>
  <c r="I21" i="1" s="1"/>
  <c r="F49" i="3"/>
  <c r="X49" i="3" s="1"/>
  <c r="J26" i="3"/>
  <c r="AA26" i="3"/>
  <c r="D33" i="3"/>
  <c r="V33" i="3" s="1"/>
  <c r="K14" i="1" s="1"/>
  <c r="E33" i="3"/>
  <c r="W33" i="3" s="1"/>
  <c r="L14" i="1" s="1"/>
  <c r="F33" i="3"/>
  <c r="X33" i="3" s="1"/>
  <c r="B33" i="3"/>
  <c r="T33" i="3" s="1"/>
  <c r="I14" i="1" s="1"/>
  <c r="C33" i="3"/>
  <c r="U33" i="3" s="1"/>
  <c r="J14" i="1" s="1"/>
  <c r="F34" i="3"/>
  <c r="X34" i="3" s="1"/>
  <c r="E34" i="3"/>
  <c r="W34" i="3" s="1"/>
  <c r="L15" i="1" s="1"/>
  <c r="B34" i="3"/>
  <c r="T34" i="3" s="1"/>
  <c r="I15" i="1" s="1"/>
  <c r="C34" i="3"/>
  <c r="U34" i="3" s="1"/>
  <c r="J15" i="1" s="1"/>
  <c r="D34" i="3"/>
  <c r="V34" i="3" s="1"/>
  <c r="K15" i="1" s="1"/>
  <c r="Z36" i="3"/>
  <c r="Y36" i="3"/>
  <c r="Y29" i="3"/>
  <c r="Z29" i="3"/>
  <c r="B48" i="3"/>
  <c r="T48" i="3" s="1"/>
  <c r="O29" i="1"/>
  <c r="I49" i="3"/>
  <c r="Z49" i="3"/>
  <c r="I48" i="3"/>
  <c r="Z48" i="3"/>
  <c r="F35" i="3"/>
  <c r="X35" i="3" s="1"/>
  <c r="E35" i="3"/>
  <c r="W35" i="3" s="1"/>
  <c r="L16" i="1" s="1"/>
  <c r="B35" i="3"/>
  <c r="T35" i="3" s="1"/>
  <c r="I16" i="1" s="1"/>
  <c r="C35" i="3"/>
  <c r="U35" i="3" s="1"/>
  <c r="J16" i="1" s="1"/>
  <c r="D35" i="3"/>
  <c r="V35" i="3" s="1"/>
  <c r="K16" i="1" s="1"/>
  <c r="B44" i="3"/>
  <c r="T44" i="3" s="1"/>
  <c r="I25" i="1" s="1"/>
  <c r="F44" i="3"/>
  <c r="X44" i="3" s="1"/>
  <c r="E44" i="3"/>
  <c r="W44" i="3" s="1"/>
  <c r="L25" i="1" s="1"/>
  <c r="D44" i="3"/>
  <c r="V44" i="3" s="1"/>
  <c r="K25" i="1" s="1"/>
  <c r="C44" i="3"/>
  <c r="U44" i="3" s="1"/>
  <c r="J25" i="1" s="1"/>
  <c r="D26" i="3"/>
  <c r="V26" i="3" s="1"/>
  <c r="K7" i="1" s="1"/>
  <c r="E26" i="3"/>
  <c r="W26" i="3" s="1"/>
  <c r="L7" i="1" s="1"/>
  <c r="B26" i="3"/>
  <c r="T26" i="3" s="1"/>
  <c r="I7" i="1" s="1"/>
  <c r="C26" i="3"/>
  <c r="U26" i="3" s="1"/>
  <c r="J7" i="1" s="1"/>
  <c r="Y28" i="3"/>
  <c r="Z28" i="3"/>
  <c r="Y42" i="3"/>
  <c r="Z42" i="3"/>
  <c r="A31" i="1"/>
  <c r="E30" i="1"/>
  <c r="B30" i="1"/>
  <c r="D30" i="1"/>
  <c r="C30" i="1"/>
  <c r="I33" i="3"/>
  <c r="Z33" i="3"/>
  <c r="F43" i="3"/>
  <c r="X43" i="3" s="1"/>
  <c r="B43" i="3"/>
  <c r="T43" i="3" s="1"/>
  <c r="I24" i="1" s="1"/>
  <c r="C43" i="3"/>
  <c r="U43" i="3" s="1"/>
  <c r="J24" i="1" s="1"/>
  <c r="D43" i="3"/>
  <c r="V43" i="3" s="1"/>
  <c r="K24" i="1" s="1"/>
  <c r="E43" i="3"/>
  <c r="W43" i="3" s="1"/>
  <c r="L24" i="1" s="1"/>
  <c r="F36" i="3"/>
  <c r="X36" i="3" s="1"/>
  <c r="B36" i="3"/>
  <c r="T36" i="3" s="1"/>
  <c r="I17" i="1" s="1"/>
  <c r="C36" i="3"/>
  <c r="U36" i="3" s="1"/>
  <c r="J17" i="1" s="1"/>
  <c r="E36" i="3"/>
  <c r="W36" i="3" s="1"/>
  <c r="L17" i="1" s="1"/>
  <c r="D36" i="3"/>
  <c r="V36" i="3" s="1"/>
  <c r="K17" i="1" s="1"/>
  <c r="F45" i="3"/>
  <c r="X45" i="3" s="1"/>
  <c r="B45" i="3"/>
  <c r="T45" i="3" s="1"/>
  <c r="I26" i="1" s="1"/>
  <c r="C45" i="3"/>
  <c r="U45" i="3" s="1"/>
  <c r="J26" i="1" s="1"/>
  <c r="D45" i="3"/>
  <c r="V45" i="3" s="1"/>
  <c r="K26" i="1" s="1"/>
  <c r="E45" i="3"/>
  <c r="W45" i="3" s="1"/>
  <c r="L26" i="1" s="1"/>
  <c r="Y33" i="3"/>
  <c r="Y34" i="3"/>
  <c r="Z34" i="3"/>
  <c r="D48" i="3"/>
  <c r="V48" i="3" s="1"/>
  <c r="D15" i="5"/>
  <c r="C48" i="3"/>
  <c r="U48" i="3" s="1"/>
  <c r="I37" i="3"/>
  <c r="Z37" i="3"/>
  <c r="C152" i="4"/>
  <c r="F30" i="3"/>
  <c r="X30" i="3" s="1"/>
  <c r="B30" i="3"/>
  <c r="T30" i="3" s="1"/>
  <c r="I11" i="1" s="1"/>
  <c r="C30" i="3"/>
  <c r="U30" i="3" s="1"/>
  <c r="J11" i="1" s="1"/>
  <c r="D30" i="3"/>
  <c r="V30" i="3" s="1"/>
  <c r="K11" i="1" s="1"/>
  <c r="E30" i="3"/>
  <c r="W30" i="3" s="1"/>
  <c r="L11" i="1" s="1"/>
  <c r="C28" i="3"/>
  <c r="U28" i="3" s="1"/>
  <c r="J9" i="1" s="1"/>
  <c r="F28" i="3"/>
  <c r="X28" i="3" s="1"/>
  <c r="B28" i="3"/>
  <c r="T28" i="3" s="1"/>
  <c r="I9" i="1" s="1"/>
  <c r="E28" i="3"/>
  <c r="W28" i="3" s="1"/>
  <c r="L9" i="1" s="1"/>
  <c r="D28" i="3"/>
  <c r="V28" i="3" s="1"/>
  <c r="K9" i="1" s="1"/>
  <c r="F37" i="3"/>
  <c r="X37" i="3" s="1"/>
  <c r="B37" i="3"/>
  <c r="T37" i="3" s="1"/>
  <c r="I18" i="1" s="1"/>
  <c r="C37" i="3"/>
  <c r="U37" i="3" s="1"/>
  <c r="J18" i="1" s="1"/>
  <c r="D37" i="3"/>
  <c r="V37" i="3" s="1"/>
  <c r="K18" i="1" s="1"/>
  <c r="E37" i="3"/>
  <c r="W37" i="3" s="1"/>
  <c r="L18" i="1" s="1"/>
  <c r="H15" i="5"/>
  <c r="C17" i="5" s="1"/>
  <c r="B8" i="3"/>
  <c r="B11" i="3" s="1"/>
  <c r="Y35" i="3"/>
  <c r="I41" i="3"/>
  <c r="Z41" i="3"/>
  <c r="C151" i="4"/>
  <c r="F38" i="3"/>
  <c r="X38" i="3" s="1"/>
  <c r="B38" i="3"/>
  <c r="T38" i="3" s="1"/>
  <c r="I19" i="1" s="1"/>
  <c r="C38" i="3"/>
  <c r="U38" i="3" s="1"/>
  <c r="J19" i="1" s="1"/>
  <c r="D38" i="3"/>
  <c r="V38" i="3" s="1"/>
  <c r="K19" i="1" s="1"/>
  <c r="E38" i="3"/>
  <c r="W38" i="3" s="1"/>
  <c r="L19" i="1" s="1"/>
  <c r="B47" i="3"/>
  <c r="T47" i="3" s="1"/>
  <c r="I28" i="1" s="1"/>
  <c r="C47" i="3"/>
  <c r="U47" i="3" s="1"/>
  <c r="J28" i="1" s="1"/>
  <c r="D47" i="3"/>
  <c r="V47" i="3" s="1"/>
  <c r="K28" i="1" s="1"/>
  <c r="E47" i="3"/>
  <c r="W47" i="3" s="1"/>
  <c r="L28" i="1" s="1"/>
  <c r="F47" i="3"/>
  <c r="X47" i="3" s="1"/>
  <c r="D29" i="3"/>
  <c r="V29" i="3" s="1"/>
  <c r="K10" i="1" s="1"/>
  <c r="E29" i="3"/>
  <c r="W29" i="3" s="1"/>
  <c r="L10" i="1" s="1"/>
  <c r="C29" i="3"/>
  <c r="U29" i="3" s="1"/>
  <c r="J10" i="1" s="1"/>
  <c r="B29" i="3"/>
  <c r="T29" i="3" s="1"/>
  <c r="I10" i="1" s="1"/>
  <c r="Y41" i="3"/>
  <c r="Z47" i="3"/>
  <c r="Y40" i="3"/>
  <c r="Z40" i="3"/>
  <c r="D40" i="3"/>
  <c r="V40" i="3" s="1"/>
  <c r="K21" i="1" s="1"/>
  <c r="D8" i="3"/>
  <c r="D11" i="3" s="1"/>
  <c r="I45" i="3"/>
  <c r="Z45" i="3"/>
  <c r="R68" i="4"/>
  <c r="C27" i="2"/>
  <c r="B28" i="2"/>
  <c r="F46" i="3"/>
  <c r="X46" i="3" s="1"/>
  <c r="B46" i="3"/>
  <c r="T46" i="3" s="1"/>
  <c r="I27" i="1" s="1"/>
  <c r="D46" i="3"/>
  <c r="V46" i="3" s="1"/>
  <c r="K27" i="1" s="1"/>
  <c r="C46" i="3"/>
  <c r="U46" i="3" s="1"/>
  <c r="J27" i="1" s="1"/>
  <c r="E46" i="3"/>
  <c r="W46" i="3" s="1"/>
  <c r="L27" i="1" s="1"/>
  <c r="B39" i="3"/>
  <c r="T39" i="3" s="1"/>
  <c r="I20" i="1" s="1"/>
  <c r="C39" i="3"/>
  <c r="U39" i="3" s="1"/>
  <c r="J20" i="1" s="1"/>
  <c r="D39" i="3"/>
  <c r="V39" i="3" s="1"/>
  <c r="K20" i="1" s="1"/>
  <c r="E39" i="3"/>
  <c r="W39" i="3" s="1"/>
  <c r="L20" i="1" s="1"/>
  <c r="F39" i="3"/>
  <c r="X39" i="3" s="1"/>
  <c r="Y30" i="3"/>
  <c r="Z30" i="3"/>
  <c r="Z39" i="3"/>
  <c r="Y32" i="3"/>
  <c r="Z32" i="3"/>
  <c r="C27" i="3"/>
  <c r="U27" i="3" s="1"/>
  <c r="J8" i="1" s="1"/>
  <c r="G15" i="5"/>
  <c r="C40" i="3"/>
  <c r="U40" i="3" s="1"/>
  <c r="J21" i="1" s="1"/>
  <c r="O50" i="3"/>
  <c r="F50" i="3" s="1"/>
  <c r="X50" i="3" s="1"/>
  <c r="H50" i="3"/>
  <c r="A51" i="3"/>
  <c r="G50" i="3"/>
  <c r="P50" i="3"/>
  <c r="C149" i="4"/>
  <c r="C153" i="4"/>
  <c r="C100" i="4" s="1"/>
  <c r="Z26" i="3"/>
  <c r="E26" i="2"/>
  <c r="K27" i="3" s="1"/>
  <c r="D26" i="2"/>
  <c r="G8" i="1" s="1"/>
  <c r="F26" i="3"/>
  <c r="X26" i="3" s="1"/>
  <c r="F74" i="4"/>
  <c r="G74" i="4"/>
  <c r="Q74" i="4" s="1"/>
  <c r="F32" i="3"/>
  <c r="X32" i="3" s="1"/>
  <c r="C32" i="3"/>
  <c r="U32" i="3" s="1"/>
  <c r="J13" i="1" s="1"/>
  <c r="D32" i="3"/>
  <c r="V32" i="3" s="1"/>
  <c r="K13" i="1" s="1"/>
  <c r="E32" i="3"/>
  <c r="W32" i="3" s="1"/>
  <c r="L13" i="1" s="1"/>
  <c r="B32" i="3"/>
  <c r="T32" i="3" s="1"/>
  <c r="I13" i="1" s="1"/>
  <c r="D31" i="3"/>
  <c r="V31" i="3" s="1"/>
  <c r="K12" i="1" s="1"/>
  <c r="E31" i="3"/>
  <c r="W31" i="3" s="1"/>
  <c r="L12" i="1" s="1"/>
  <c r="B31" i="3"/>
  <c r="T31" i="3" s="1"/>
  <c r="I12" i="1" s="1"/>
  <c r="C31" i="3"/>
  <c r="U31" i="3" s="1"/>
  <c r="J12" i="1" s="1"/>
  <c r="F31" i="3"/>
  <c r="X31" i="3" s="1"/>
  <c r="F48" i="3"/>
  <c r="X48" i="3" s="1"/>
  <c r="Z31" i="3"/>
  <c r="Y45" i="3"/>
  <c r="B27" i="3"/>
  <c r="T27" i="3" s="1"/>
  <c r="I8" i="1" s="1"/>
  <c r="E15" i="5"/>
  <c r="E40" i="3"/>
  <c r="W40" i="3" s="1"/>
  <c r="L21" i="1" s="1"/>
  <c r="Y49" i="3"/>
  <c r="Y50" i="3" l="1"/>
  <c r="B49" i="3"/>
  <c r="T49" i="3" s="1"/>
  <c r="O30" i="1"/>
  <c r="O51" i="3"/>
  <c r="A52" i="3"/>
  <c r="H51" i="3"/>
  <c r="P51" i="3"/>
  <c r="G51" i="3"/>
  <c r="Q51" i="3"/>
  <c r="R51" i="3"/>
  <c r="N51" i="3"/>
  <c r="E49" i="3"/>
  <c r="W49" i="3" s="1"/>
  <c r="R30" i="1"/>
  <c r="J27" i="3"/>
  <c r="AA27" i="3"/>
  <c r="I50" i="3"/>
  <c r="Z50" i="3"/>
  <c r="D31" i="1"/>
  <c r="D50" i="3" s="1"/>
  <c r="V50" i="3" s="1"/>
  <c r="E31" i="1"/>
  <c r="E50" i="3" s="1"/>
  <c r="W50" i="3" s="1"/>
  <c r="A32" i="1"/>
  <c r="B31" i="1"/>
  <c r="B50" i="3" s="1"/>
  <c r="T50" i="3" s="1"/>
  <c r="C31" i="1"/>
  <c r="C50" i="3" s="1"/>
  <c r="U50" i="3" s="1"/>
  <c r="O67" i="4"/>
  <c r="P67" i="4" s="1"/>
  <c r="Q67" i="4" s="1"/>
  <c r="C18" i="5"/>
  <c r="C49" i="3"/>
  <c r="U49" i="3" s="1"/>
  <c r="P30" i="1"/>
  <c r="C28" i="2"/>
  <c r="B29" i="2"/>
  <c r="E27" i="2"/>
  <c r="K28" i="3" s="1"/>
  <c r="D27" i="2"/>
  <c r="G9" i="1" s="1"/>
  <c r="C154" i="4"/>
  <c r="C19" i="4" s="1"/>
  <c r="N68" i="4" s="1"/>
  <c r="D49" i="3"/>
  <c r="V49" i="3" s="1"/>
  <c r="Q30" i="1"/>
  <c r="Y51" i="3" l="1"/>
  <c r="E28" i="2"/>
  <c r="K29" i="3" s="1"/>
  <c r="D28" i="2"/>
  <c r="G10" i="1" s="1"/>
  <c r="B32" i="1"/>
  <c r="B51" i="3" s="1"/>
  <c r="T51" i="3" s="1"/>
  <c r="C32" i="1"/>
  <c r="C51" i="3" s="1"/>
  <c r="U51" i="3" s="1"/>
  <c r="D32" i="1"/>
  <c r="D51" i="3" s="1"/>
  <c r="V51" i="3" s="1"/>
  <c r="E32" i="1"/>
  <c r="E51" i="3" s="1"/>
  <c r="W51" i="3" s="1"/>
  <c r="A33" i="1"/>
  <c r="I51" i="3"/>
  <c r="Z51" i="3"/>
  <c r="P68" i="4"/>
  <c r="Q68" i="4" s="1"/>
  <c r="N69" i="4"/>
  <c r="P69" i="4" s="1"/>
  <c r="Q69" i="4" s="1"/>
  <c r="G52" i="3"/>
  <c r="O52" i="3"/>
  <c r="P52" i="3"/>
  <c r="A53" i="3"/>
  <c r="H52" i="3"/>
  <c r="Q52" i="3"/>
  <c r="N52" i="3"/>
  <c r="R52" i="3"/>
  <c r="F51" i="3"/>
  <c r="X51" i="3" s="1"/>
  <c r="C29" i="2"/>
  <c r="B30" i="2"/>
  <c r="AC4" i="3"/>
  <c r="J28" i="3"/>
  <c r="AA28" i="3"/>
  <c r="C30" i="2" l="1"/>
  <c r="E30" i="2" s="1"/>
  <c r="K31" i="3" s="1"/>
  <c r="B31" i="2"/>
  <c r="C31" i="2" s="1"/>
  <c r="C32" i="2" s="1"/>
  <c r="O53" i="3"/>
  <c r="H53" i="3"/>
  <c r="G53" i="3"/>
  <c r="A54" i="3"/>
  <c r="P53" i="3"/>
  <c r="N53" i="3"/>
  <c r="Q53" i="3"/>
  <c r="R53" i="3"/>
  <c r="A34" i="1"/>
  <c r="B33" i="1"/>
  <c r="B52" i="3" s="1"/>
  <c r="T52" i="3" s="1"/>
  <c r="D33" i="1"/>
  <c r="D52" i="3" s="1"/>
  <c r="V52" i="3" s="1"/>
  <c r="E33" i="1"/>
  <c r="E52" i="3" s="1"/>
  <c r="W52" i="3" s="1"/>
  <c r="C33" i="1"/>
  <c r="C52" i="3" s="1"/>
  <c r="U52" i="3" s="1"/>
  <c r="E29" i="2"/>
  <c r="K30" i="3" s="1"/>
  <c r="D29" i="2"/>
  <c r="G11" i="1" s="1"/>
  <c r="F52" i="3"/>
  <c r="X52" i="3" s="1"/>
  <c r="I52" i="3"/>
  <c r="Z52" i="3"/>
  <c r="Y52" i="3"/>
  <c r="J29" i="3"/>
  <c r="AA29" i="3"/>
  <c r="D30" i="2" l="1"/>
  <c r="G12" i="1" s="1"/>
  <c r="AA31" i="3"/>
  <c r="J30" i="3"/>
  <c r="J31" i="3" s="1"/>
  <c r="J32" i="3" s="1"/>
  <c r="J33" i="3" s="1"/>
  <c r="J34" i="3" s="1"/>
  <c r="J35" i="3" s="1"/>
  <c r="J36" i="3" s="1"/>
  <c r="J37" i="3" s="1"/>
  <c r="J38" i="3" s="1"/>
  <c r="J39" i="3" s="1"/>
  <c r="J40" i="3" s="1"/>
  <c r="J41" i="3" s="1"/>
  <c r="J42" i="3" s="1"/>
  <c r="J43" i="3" s="1"/>
  <c r="J44" i="3" s="1"/>
  <c r="J45" i="3" s="1"/>
  <c r="J46" i="3" s="1"/>
  <c r="J47" i="3" s="1"/>
  <c r="J48" i="3" s="1"/>
  <c r="J49" i="3" s="1"/>
  <c r="J50" i="3" s="1"/>
  <c r="J51" i="3" s="1"/>
  <c r="J52" i="3" s="1"/>
  <c r="J53" i="3" s="1"/>
  <c r="J54" i="3" s="1"/>
  <c r="J55" i="3" s="1"/>
  <c r="J56" i="3" s="1"/>
  <c r="J57" i="3" s="1"/>
  <c r="J58" i="3" s="1"/>
  <c r="J59" i="3" s="1"/>
  <c r="J60" i="3" s="1"/>
  <c r="J61" i="3" s="1"/>
  <c r="J62" i="3" s="1"/>
  <c r="J63" i="3" s="1"/>
  <c r="J64" i="3" s="1"/>
  <c r="AA30" i="3"/>
  <c r="H54" i="3"/>
  <c r="O54" i="3"/>
  <c r="G54" i="3"/>
  <c r="P54" i="3"/>
  <c r="A55" i="3"/>
  <c r="N54" i="3"/>
  <c r="Q54" i="3"/>
  <c r="R54" i="3"/>
  <c r="Y53" i="3"/>
  <c r="E31" i="2"/>
  <c r="K32" i="3" s="1"/>
  <c r="D31" i="2"/>
  <c r="G13" i="1" s="1"/>
  <c r="A35" i="1"/>
  <c r="D34" i="1"/>
  <c r="D53" i="3" s="1"/>
  <c r="V53" i="3" s="1"/>
  <c r="E34" i="1"/>
  <c r="E53" i="3" s="1"/>
  <c r="W53" i="3" s="1"/>
  <c r="B34" i="1"/>
  <c r="B53" i="3" s="1"/>
  <c r="T53" i="3" s="1"/>
  <c r="C34" i="1"/>
  <c r="C53" i="3" s="1"/>
  <c r="U53" i="3" s="1"/>
  <c r="I53" i="3"/>
  <c r="Z53" i="3"/>
  <c r="F53" i="3"/>
  <c r="X53" i="3" s="1"/>
  <c r="Y54" i="3" l="1"/>
  <c r="F54" i="3"/>
  <c r="X54" i="3" s="1"/>
  <c r="AA32" i="3"/>
  <c r="I54" i="3"/>
  <c r="Z54" i="3"/>
  <c r="B35" i="1"/>
  <c r="B54" i="3" s="1"/>
  <c r="T54" i="3" s="1"/>
  <c r="E35" i="1"/>
  <c r="E54" i="3" s="1"/>
  <c r="W54" i="3" s="1"/>
  <c r="C35" i="1"/>
  <c r="C54" i="3" s="1"/>
  <c r="U54" i="3" s="1"/>
  <c r="A36" i="1"/>
  <c r="D35" i="1"/>
  <c r="D54" i="3" s="1"/>
  <c r="V54" i="3" s="1"/>
  <c r="C33" i="2"/>
  <c r="E32" i="2"/>
  <c r="K33" i="3" s="1"/>
  <c r="D32" i="2"/>
  <c r="G14" i="1" s="1"/>
  <c r="O55" i="3"/>
  <c r="G55" i="3"/>
  <c r="P55" i="3"/>
  <c r="H55" i="3"/>
  <c r="A56" i="3"/>
  <c r="R55" i="3"/>
  <c r="Q55" i="3"/>
  <c r="N55" i="3"/>
  <c r="AA33" i="3" l="1"/>
  <c r="C34" i="2"/>
  <c r="E33" i="2"/>
  <c r="K34" i="3" s="1"/>
  <c r="D33" i="2"/>
  <c r="G15" i="1" s="1"/>
  <c r="G56" i="3"/>
  <c r="H56" i="3"/>
  <c r="O56" i="3"/>
  <c r="A57" i="3"/>
  <c r="P56" i="3"/>
  <c r="N56" i="3"/>
  <c r="R56" i="3"/>
  <c r="Q56" i="3"/>
  <c r="I55" i="3"/>
  <c r="Z55" i="3"/>
  <c r="E36" i="1"/>
  <c r="E55" i="3" s="1"/>
  <c r="W55" i="3" s="1"/>
  <c r="B36" i="1"/>
  <c r="B55" i="3" s="1"/>
  <c r="T55" i="3" s="1"/>
  <c r="C36" i="1"/>
  <c r="C55" i="3" s="1"/>
  <c r="U55" i="3" s="1"/>
  <c r="D36" i="1"/>
  <c r="D55" i="3" s="1"/>
  <c r="V55" i="3" s="1"/>
  <c r="A37" i="1"/>
  <c r="Y55" i="3"/>
  <c r="F55" i="3"/>
  <c r="X55" i="3" s="1"/>
  <c r="AA34" i="3" l="1"/>
  <c r="H57" i="3"/>
  <c r="O57" i="3"/>
  <c r="G57" i="3"/>
  <c r="A58" i="3"/>
  <c r="P57" i="3"/>
  <c r="Q57" i="3"/>
  <c r="N57" i="3"/>
  <c r="R57" i="3"/>
  <c r="I56" i="3"/>
  <c r="Z56" i="3"/>
  <c r="Y56" i="3"/>
  <c r="F56" i="3"/>
  <c r="X56" i="3" s="1"/>
  <c r="A38" i="1"/>
  <c r="C37" i="1"/>
  <c r="C56" i="3" s="1"/>
  <c r="U56" i="3" s="1"/>
  <c r="E37" i="1"/>
  <c r="E56" i="3" s="1"/>
  <c r="W56" i="3" s="1"/>
  <c r="B37" i="1"/>
  <c r="B56" i="3" s="1"/>
  <c r="T56" i="3" s="1"/>
  <c r="D37" i="1"/>
  <c r="D56" i="3" s="1"/>
  <c r="V56" i="3" s="1"/>
  <c r="C35" i="2"/>
  <c r="E34" i="2"/>
  <c r="K35" i="3" s="1"/>
  <c r="D34" i="2"/>
  <c r="G16" i="1" s="1"/>
  <c r="A39" i="1" l="1"/>
  <c r="B38" i="1"/>
  <c r="B57" i="3" s="1"/>
  <c r="T57" i="3" s="1"/>
  <c r="C38" i="1"/>
  <c r="C57" i="3" s="1"/>
  <c r="U57" i="3" s="1"/>
  <c r="D38" i="1"/>
  <c r="D57" i="3" s="1"/>
  <c r="V57" i="3" s="1"/>
  <c r="E38" i="1"/>
  <c r="E57" i="3" s="1"/>
  <c r="W57" i="3" s="1"/>
  <c r="O58" i="3"/>
  <c r="H58" i="3"/>
  <c r="A59" i="3"/>
  <c r="G58" i="3"/>
  <c r="P58" i="3"/>
  <c r="R58" i="3"/>
  <c r="N58" i="3"/>
  <c r="Q58" i="3"/>
  <c r="AD2" i="3"/>
  <c r="AA35" i="3"/>
  <c r="Y57" i="3"/>
  <c r="C36" i="2"/>
  <c r="D35" i="2"/>
  <c r="G17" i="1" s="1"/>
  <c r="E35" i="2"/>
  <c r="K36" i="3" s="1"/>
  <c r="F57" i="3"/>
  <c r="X57" i="3" s="1"/>
  <c r="I57" i="3"/>
  <c r="Z57" i="3"/>
  <c r="AA36" i="3" l="1"/>
  <c r="I58" i="3"/>
  <c r="Z58" i="3"/>
  <c r="G59" i="3"/>
  <c r="H59" i="3"/>
  <c r="O59" i="3"/>
  <c r="A60" i="3"/>
  <c r="P59" i="3"/>
  <c r="Q59" i="3"/>
  <c r="N59" i="3"/>
  <c r="R59" i="3"/>
  <c r="F58" i="3"/>
  <c r="X58" i="3" s="1"/>
  <c r="C37" i="2"/>
  <c r="D36" i="2"/>
  <c r="G18" i="1" s="1"/>
  <c r="E36" i="2"/>
  <c r="K37" i="3" s="1"/>
  <c r="Y58" i="3"/>
  <c r="A40" i="1"/>
  <c r="B39" i="1"/>
  <c r="B58" i="3" s="1"/>
  <c r="T58" i="3" s="1"/>
  <c r="D39" i="1"/>
  <c r="D58" i="3" s="1"/>
  <c r="V58" i="3" s="1"/>
  <c r="E39" i="1"/>
  <c r="E58" i="3" s="1"/>
  <c r="W58" i="3" s="1"/>
  <c r="C39" i="1"/>
  <c r="C58" i="3" s="1"/>
  <c r="U58" i="3" s="1"/>
  <c r="Y59" i="3" l="1"/>
  <c r="AA37" i="3"/>
  <c r="C38" i="2"/>
  <c r="E37" i="2"/>
  <c r="K38" i="3" s="1"/>
  <c r="D37" i="2"/>
  <c r="G19" i="1" s="1"/>
  <c r="B40" i="1"/>
  <c r="B59" i="3" s="1"/>
  <c r="T59" i="3" s="1"/>
  <c r="E40" i="1"/>
  <c r="E59" i="3" s="1"/>
  <c r="W59" i="3" s="1"/>
  <c r="A41" i="1"/>
  <c r="C40" i="1"/>
  <c r="C59" i="3" s="1"/>
  <c r="U59" i="3" s="1"/>
  <c r="D40" i="1"/>
  <c r="D59" i="3" s="1"/>
  <c r="V59" i="3" s="1"/>
  <c r="G60" i="3"/>
  <c r="O60" i="3"/>
  <c r="H60" i="3"/>
  <c r="P60" i="3"/>
  <c r="A61" i="3"/>
  <c r="Q60" i="3"/>
  <c r="R60" i="3"/>
  <c r="N60" i="3"/>
  <c r="F59" i="3"/>
  <c r="X59" i="3" s="1"/>
  <c r="I59" i="3"/>
  <c r="Z59" i="3"/>
  <c r="AA38" i="3" l="1"/>
  <c r="O61" i="3"/>
  <c r="H61" i="3"/>
  <c r="G61" i="3"/>
  <c r="A62" i="3"/>
  <c r="P61" i="3"/>
  <c r="N61" i="3"/>
  <c r="Q61" i="3"/>
  <c r="R61" i="3"/>
  <c r="I60" i="3"/>
  <c r="Z60" i="3"/>
  <c r="A42" i="1"/>
  <c r="B41" i="1"/>
  <c r="B60" i="3" s="1"/>
  <c r="T60" i="3" s="1"/>
  <c r="C41" i="1"/>
  <c r="C60" i="3" s="1"/>
  <c r="U60" i="3" s="1"/>
  <c r="D41" i="1"/>
  <c r="D60" i="3" s="1"/>
  <c r="V60" i="3" s="1"/>
  <c r="E41" i="1"/>
  <c r="E60" i="3" s="1"/>
  <c r="W60" i="3" s="1"/>
  <c r="F60" i="3"/>
  <c r="X60" i="3" s="1"/>
  <c r="Y60" i="3"/>
  <c r="E38" i="2"/>
  <c r="K39" i="3" s="1"/>
  <c r="D38" i="2"/>
  <c r="G20" i="1" s="1"/>
  <c r="C39" i="2"/>
  <c r="AA39" i="3" l="1"/>
  <c r="C40" i="2"/>
  <c r="D39" i="2"/>
  <c r="G21" i="1" s="1"/>
  <c r="E39" i="2"/>
  <c r="K40" i="3" s="1"/>
  <c r="Y61" i="3"/>
  <c r="H62" i="3"/>
  <c r="G62" i="3"/>
  <c r="O62" i="3"/>
  <c r="P62" i="3"/>
  <c r="A63" i="3"/>
  <c r="N62" i="3"/>
  <c r="Q62" i="3"/>
  <c r="R62" i="3"/>
  <c r="A43" i="1"/>
  <c r="B42" i="1"/>
  <c r="B61" i="3" s="1"/>
  <c r="T61" i="3" s="1"/>
  <c r="E42" i="1"/>
  <c r="E61" i="3" s="1"/>
  <c r="W61" i="3" s="1"/>
  <c r="C42" i="1"/>
  <c r="C61" i="3" s="1"/>
  <c r="U61" i="3" s="1"/>
  <c r="D42" i="1"/>
  <c r="D61" i="3" s="1"/>
  <c r="V61" i="3" s="1"/>
  <c r="I61" i="3"/>
  <c r="Z61" i="3"/>
  <c r="F61" i="3"/>
  <c r="X61" i="3" s="1"/>
  <c r="AA40" i="3" l="1"/>
  <c r="I62" i="3"/>
  <c r="Z62" i="3"/>
  <c r="F62" i="3"/>
  <c r="X62" i="3" s="1"/>
  <c r="Y62" i="3"/>
  <c r="D43" i="1"/>
  <c r="D62" i="3" s="1"/>
  <c r="V62" i="3" s="1"/>
  <c r="E43" i="1"/>
  <c r="E62" i="3" s="1"/>
  <c r="W62" i="3" s="1"/>
  <c r="A44" i="1"/>
  <c r="B43" i="1"/>
  <c r="B62" i="3" s="1"/>
  <c r="T62" i="3" s="1"/>
  <c r="C43" i="1"/>
  <c r="C62" i="3" s="1"/>
  <c r="U62" i="3" s="1"/>
  <c r="O63" i="3"/>
  <c r="H63" i="3"/>
  <c r="A64" i="3"/>
  <c r="P63" i="3"/>
  <c r="G63" i="3"/>
  <c r="N63" i="3"/>
  <c r="R63" i="3"/>
  <c r="Q63" i="3"/>
  <c r="C41" i="2"/>
  <c r="D40" i="2"/>
  <c r="G22" i="1" s="1"/>
  <c r="E40" i="2"/>
  <c r="K41" i="3" s="1"/>
  <c r="AA41" i="3" l="1"/>
  <c r="Y63" i="3"/>
  <c r="A45" i="1"/>
  <c r="B44" i="1"/>
  <c r="B63" i="3" s="1"/>
  <c r="T63" i="3" s="1"/>
  <c r="C44" i="1"/>
  <c r="C63" i="3" s="1"/>
  <c r="U63" i="3" s="1"/>
  <c r="D44" i="1"/>
  <c r="D63" i="3" s="1"/>
  <c r="V63" i="3" s="1"/>
  <c r="E44" i="1"/>
  <c r="E63" i="3" s="1"/>
  <c r="W63" i="3" s="1"/>
  <c r="G64" i="3"/>
  <c r="O64" i="3"/>
  <c r="P64" i="3"/>
  <c r="H64" i="3"/>
  <c r="N64" i="3"/>
  <c r="R64" i="3"/>
  <c r="Q64" i="3"/>
  <c r="AC5" i="3"/>
  <c r="I63" i="3"/>
  <c r="Z63" i="3"/>
  <c r="C42" i="2"/>
  <c r="E41" i="2"/>
  <c r="K42" i="3" s="1"/>
  <c r="D41" i="2"/>
  <c r="G23" i="1" s="1"/>
  <c r="F63" i="3"/>
  <c r="X63" i="3" s="1"/>
  <c r="AA42" i="3" l="1"/>
  <c r="F64" i="3"/>
  <c r="X64" i="3" s="1"/>
  <c r="Y64" i="3"/>
  <c r="C43" i="2"/>
  <c r="E42" i="2"/>
  <c r="K43" i="3" s="1"/>
  <c r="D42" i="2"/>
  <c r="G24" i="1" s="1"/>
  <c r="I64" i="3"/>
  <c r="Z64" i="3"/>
  <c r="E45" i="1"/>
  <c r="E64" i="3" s="1"/>
  <c r="W64" i="3" s="1"/>
  <c r="C45" i="1"/>
  <c r="C64" i="3" s="1"/>
  <c r="U64" i="3" s="1"/>
  <c r="D45" i="1"/>
  <c r="D64" i="3" s="1"/>
  <c r="V64" i="3" s="1"/>
  <c r="B45" i="1"/>
  <c r="B64" i="3" s="1"/>
  <c r="T64" i="3" s="1"/>
  <c r="AD3" i="3" l="1"/>
  <c r="AA43" i="3"/>
  <c r="C44" i="2"/>
  <c r="E43" i="2"/>
  <c r="K44" i="3" s="1"/>
  <c r="D43" i="2"/>
  <c r="G25" i="1" s="1"/>
  <c r="AA44" i="3" l="1"/>
  <c r="C45" i="2"/>
  <c r="E44" i="2"/>
  <c r="K45" i="3" s="1"/>
  <c r="D44" i="2"/>
  <c r="G26" i="1" s="1"/>
  <c r="AA45" i="3" l="1"/>
  <c r="C46" i="2"/>
  <c r="E45" i="2"/>
  <c r="K46" i="3" s="1"/>
  <c r="D45" i="2"/>
  <c r="G27" i="1" s="1"/>
  <c r="AA46" i="3" l="1"/>
  <c r="D46" i="2"/>
  <c r="G28" i="1" s="1"/>
  <c r="C47" i="2"/>
  <c r="E46" i="2"/>
  <c r="K47" i="3" s="1"/>
  <c r="AA47" i="3" l="1"/>
  <c r="C48" i="2"/>
  <c r="E47" i="2"/>
  <c r="K48" i="3" s="1"/>
  <c r="D47" i="2"/>
  <c r="G29" i="1" s="1"/>
  <c r="AA48" i="3" l="1"/>
  <c r="E48" i="2"/>
  <c r="K49" i="3" s="1"/>
  <c r="C49" i="2"/>
  <c r="D48" i="2"/>
  <c r="G30" i="1" s="1"/>
  <c r="AA49" i="3" l="1"/>
  <c r="C50" i="2"/>
  <c r="E49" i="2"/>
  <c r="K50" i="3" s="1"/>
  <c r="D49" i="2"/>
  <c r="G31" i="1" s="1"/>
  <c r="AA50" i="3" l="1"/>
  <c r="C51" i="2"/>
  <c r="E50" i="2"/>
  <c r="K51" i="3" s="1"/>
  <c r="D50" i="2"/>
  <c r="G32" i="1" s="1"/>
  <c r="AA51" i="3" l="1"/>
  <c r="AD4" i="3"/>
  <c r="C52" i="2"/>
  <c r="E51" i="2"/>
  <c r="K52" i="3" s="1"/>
  <c r="D51" i="2"/>
  <c r="G33" i="1" s="1"/>
  <c r="AA52" i="3" l="1"/>
  <c r="C53" i="2"/>
  <c r="E52" i="2"/>
  <c r="K53" i="3" s="1"/>
  <c r="D52" i="2"/>
  <c r="G34" i="1" s="1"/>
  <c r="AA53" i="3" l="1"/>
  <c r="C54" i="2"/>
  <c r="E53" i="2"/>
  <c r="K54" i="3" s="1"/>
  <c r="D53" i="2"/>
  <c r="G35" i="1" s="1"/>
  <c r="AA54" i="3" l="1"/>
  <c r="E54" i="2"/>
  <c r="K55" i="3" s="1"/>
  <c r="C55" i="2"/>
  <c r="D54" i="2"/>
  <c r="G36" i="1" s="1"/>
  <c r="AA55" i="3" l="1"/>
  <c r="E55" i="2"/>
  <c r="K56" i="3" s="1"/>
  <c r="D55" i="2"/>
  <c r="G37" i="1" s="1"/>
  <c r="C56" i="2"/>
  <c r="AA56" i="3" l="1"/>
  <c r="E56" i="2"/>
  <c r="K57" i="3" s="1"/>
  <c r="D56" i="2"/>
  <c r="G38" i="1" s="1"/>
  <c r="C57" i="2"/>
  <c r="AA57" i="3" l="1"/>
  <c r="C58" i="2"/>
  <c r="E57" i="2"/>
  <c r="K58" i="3" s="1"/>
  <c r="D57" i="2"/>
  <c r="G39" i="1" s="1"/>
  <c r="AA58" i="3" l="1"/>
  <c r="C59" i="2"/>
  <c r="E58" i="2"/>
  <c r="K59" i="3" s="1"/>
  <c r="D58" i="2"/>
  <c r="G40" i="1" s="1"/>
  <c r="AA59" i="3" l="1"/>
  <c r="AD5" i="3"/>
  <c r="C60" i="2"/>
  <c r="D59" i="2"/>
  <c r="G41" i="1" s="1"/>
  <c r="E59" i="2"/>
  <c r="K60" i="3" s="1"/>
  <c r="AA60" i="3" l="1"/>
  <c r="C61" i="2"/>
  <c r="E60" i="2"/>
  <c r="K61" i="3" s="1"/>
  <c r="D60" i="2"/>
  <c r="G42" i="1" s="1"/>
  <c r="AA61" i="3" l="1"/>
  <c r="C62" i="2"/>
  <c r="E61" i="2"/>
  <c r="K62" i="3" s="1"/>
  <c r="D61" i="2"/>
  <c r="G43" i="1" s="1"/>
  <c r="AA62" i="3" l="1"/>
  <c r="C63" i="2"/>
  <c r="D62" i="2"/>
  <c r="G44" i="1" s="1"/>
  <c r="E62" i="2"/>
  <c r="K63" i="3" s="1"/>
  <c r="AA63" i="3" l="1"/>
  <c r="C64" i="2"/>
  <c r="D63" i="2"/>
  <c r="G45" i="1" s="1"/>
  <c r="E63" i="2"/>
  <c r="K64" i="3" s="1"/>
  <c r="AA64" i="3" l="1"/>
  <c r="C65" i="2"/>
  <c r="D64" i="2"/>
  <c r="E64" i="2"/>
  <c r="C66" i="2" l="1"/>
  <c r="E65" i="2"/>
  <c r="D65" i="2"/>
  <c r="C67" i="2" l="1"/>
  <c r="E66" i="2"/>
  <c r="D66" i="2"/>
  <c r="C68" i="2" l="1"/>
  <c r="E67" i="2"/>
  <c r="D67" i="2"/>
  <c r="D68" i="2" l="1"/>
  <c r="E6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H7" authorId="0" shapeId="0" xr:uid="{00000000-0006-0000-0000-000001000000}">
      <text>
        <r>
          <rPr>
            <sz val="9"/>
            <color rgb="FF000000"/>
            <rFont val="Calibri"/>
            <family val="2"/>
          </rPr>
          <t>Updated from 0 to -0.23 2018-07-10, to get 0% adoption in 2019, giving a more plausible value in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F6" authorId="0" shapeId="0" xr:uid="{00000000-0006-0000-0100-000001000000}">
      <text>
        <r>
          <rPr>
            <sz val="9"/>
            <color rgb="FF000000"/>
            <rFont val="Calibri"/>
            <family val="2"/>
          </rPr>
          <t>From PSIP 2016-12-23 Book 3 p. J-45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17" authorId="0" shapeId="0" xr:uid="{00000000-0006-0000-0300-000001000000}">
      <text>
        <r>
          <rPr>
            <sz val="9"/>
            <color indexed="81"/>
            <rFont val="Calibri"/>
            <family val="2"/>
          </rPr>
          <t>we ignore federal tax credits because they phase out when manufacturer has sold 200,000 vehicles (probably much before Oahu gets to 625,000 EVs)</t>
        </r>
      </text>
    </comment>
    <comment ref="D31" authorId="0" shapeId="0" xr:uid="{00000000-0006-0000-0300-000002000000}">
      <text>
        <r>
          <rPr>
            <sz val="9"/>
            <color indexed="81"/>
            <rFont val="Calibri"/>
            <family val="2"/>
          </rPr>
          <t>*** pp. 4 &amp; 23 of 180124hdbevefficiency.pdf says energy efficiency ratio for electric vs. diesel is based strongly on average driving speed (proxy for braking/moving cycles). Also says you can get average driving speed from NTD website. But this report also shows average speeds directly for urban buses and delivery trucks. This gives EER (efficiency multiplier) for urban bus of 4.8, for delivery truck of 4.4. (this is not that great on its own, since oil power plants in Oahu might be 30% efficient, so need 3.3 units of fuel to make 1 unit of electricity)</t>
        </r>
      </text>
    </comment>
    <comment ref="C42" authorId="0" shapeId="0" xr:uid="{00000000-0006-0000-0300-000003000000}">
      <text>
        <r>
          <rPr>
            <sz val="9"/>
            <color indexed="81"/>
            <rFont val="Calibri"/>
            <family val="2"/>
          </rPr>
          <t>mixing day/night is probably OK,since that's better matched to daytime sun and allows smaller bus batteries. But shedule is probably inflexible once setup  -- will use chargers as intensively/steadily as they can, since charging infrastructure is expensive and demand charges may be high</t>
        </r>
      </text>
    </comment>
    <comment ref="O44" authorId="0" shapeId="0" xr:uid="{00000000-0006-0000-0300-000004000000}">
      <text>
        <r>
          <rPr>
            <sz val="9"/>
            <color indexed="81"/>
            <rFont val="Calibri"/>
            <family val="2"/>
          </rPr>
          <t>200 kW charger, includes components, civil works, power transformer</t>
        </r>
      </text>
    </comment>
    <comment ref="I66" authorId="0" shapeId="0" xr:uid="{00000000-0006-0000-0300-000005000000}">
      <text>
        <r>
          <rPr>
            <sz val="9"/>
            <color indexed="81"/>
            <rFont val="Calibri"/>
            <family val="2"/>
          </rPr>
          <t>vehicles will be uniformly distributed in 5 batches with start times and end times evenly spaced in this range; vehicles that start early will also end early</t>
        </r>
      </text>
    </comment>
    <comment ref="D67" authorId="0" shapeId="0" xr:uid="{00000000-0006-0000-0300-000006000000}">
      <text>
        <r>
          <rPr>
            <sz val="9"/>
            <color indexed="81"/>
            <rFont val="Calibri"/>
            <family val="2"/>
          </rPr>
          <t>"Private car charging" page shows calculation of private gasoline vehicle fleet size from household census data. The dataset shows fewer than the number of registered vehicles for Oahu, but it omits group quarters, and if it is rescaled to match 2016 population then it exceeds the number of registrations in Oahu. So we just assume all passenger gasoline vehicles are private, with time profiles as shown in the national household transportation survey.</t>
        </r>
      </text>
    </comment>
    <comment ref="I68" authorId="0" shapeId="0" xr:uid="{00000000-0006-0000-0300-000007000000}">
      <text>
        <r>
          <rPr>
            <sz val="9"/>
            <color indexed="81"/>
            <rFont val="Calibri"/>
            <family val="2"/>
          </rPr>
          <t>estimated time when vehicles are in service</t>
        </r>
      </text>
    </comment>
    <comment ref="M68" authorId="0" shapeId="0" xr:uid="{00000000-0006-0000-0300-000008000000}">
      <text>
        <r>
          <rPr>
            <sz val="9"/>
            <color indexed="81"/>
            <rFont val="Calibri"/>
            <family val="2"/>
          </rPr>
          <t>assume continuous charging on average during service period</t>
        </r>
      </text>
    </comment>
    <comment ref="I69" authorId="0" shapeId="0" xr:uid="{00000000-0006-0000-0300-000009000000}">
      <text>
        <r>
          <rPr>
            <sz val="9"/>
            <color indexed="81"/>
            <rFont val="Calibri"/>
            <family val="2"/>
          </rPr>
          <t>estimated time when vehicles are out of service</t>
        </r>
      </text>
    </comment>
    <comment ref="M69" authorId="0" shapeId="0" xr:uid="{00000000-0006-0000-0300-00000A000000}">
      <text>
        <r>
          <rPr>
            <sz val="9"/>
            <color indexed="81"/>
            <rFont val="Calibri"/>
            <family val="2"/>
          </rPr>
          <t>sized to allow charging in 5-hour window</t>
        </r>
      </text>
    </comment>
    <comment ref="I70" authorId="0" shapeId="0" xr:uid="{00000000-0006-0000-0300-00000B000000}">
      <text>
        <r>
          <rPr>
            <sz val="9"/>
            <color indexed="81"/>
            <rFont val="Calibri"/>
            <family val="2"/>
          </rPr>
          <t>Off road time assumed as reasonable for tourist buses/shuttles</t>
        </r>
      </text>
    </comment>
    <comment ref="F71" authorId="0" shapeId="0" xr:uid="{00000000-0006-0000-0300-00000C000000}">
      <text>
        <r>
          <rPr>
            <sz val="9"/>
            <color indexed="81"/>
            <rFont val="Calibri"/>
            <family val="2"/>
          </rPr>
          <t>assumed 2x passenger vehicle level</t>
        </r>
      </text>
    </comment>
    <comment ref="I72" authorId="0" shapeId="0" xr:uid="{00000000-0006-0000-0300-00000D000000}">
      <text>
        <r>
          <rPr>
            <sz val="9"/>
            <color indexed="81"/>
            <rFont val="Calibri"/>
            <family val="2"/>
          </rPr>
          <t>charging window based on "business day trucks" in Figure 6 of hallenbeck_vehicle_1997, http://depts.washington.edu/trac/bulkdisk/pdf/VVD_CLASS.pdf</t>
        </r>
      </text>
    </comment>
    <comment ref="H74" authorId="0" shapeId="0" xr:uid="{00000000-0006-0000-0300-00000E000000}">
      <text>
        <r>
          <rPr>
            <sz val="9"/>
            <color indexed="81"/>
            <rFont val="Calibri"/>
            <family val="2"/>
          </rPr>
          <t>estimated time when vehicles are out of service</t>
        </r>
      </text>
    </comment>
    <comment ref="E103" authorId="0" shapeId="0" xr:uid="{00000000-0006-0000-0300-00000F000000}">
      <text>
        <r>
          <rPr>
            <sz val="9"/>
            <color indexed="81"/>
            <rFont val="Calibri"/>
            <family val="2"/>
          </rPr>
          <t>for 2016 per https://www.statista.com/statistics/412794/euro-to-u-s-dollar-annual-average-exchange-rate/</t>
        </r>
      </text>
    </comment>
    <comment ref="B106" authorId="0" shapeId="0" xr:uid="{00000000-0006-0000-0300-000010000000}">
      <text>
        <r>
          <rPr>
            <sz val="9"/>
            <color indexed="81"/>
            <rFont val="Calibri"/>
            <family val="2"/>
          </rPr>
          <t>found by opening Fig. 7 in Inkscape, then copying height of each graph bar from the properties area above the ruler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D10" authorId="0" shapeId="0" xr:uid="{00000000-0006-0000-0400-000001000000}">
      <text>
        <r>
          <rPr>
            <sz val="9"/>
            <color indexed="81"/>
            <rFont val="Calibri"/>
            <family val="2"/>
          </rPr>
          <t>Assumes people rotate some of these vehicles between home garage and curb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<sst xmlns="http://schemas.openxmlformats.org/spreadsheetml/2006/main" count="382" uniqueCount="314">
  <si>
    <t>Blazing a Bold Frontier</t>
  </si>
  <si>
    <t>Stuck in the Middle</t>
  </si>
  <si>
    <t>No Burning Desire</t>
  </si>
  <si>
    <t>Year</t>
  </si>
  <si>
    <t>Moved by Passion</t>
  </si>
  <si>
    <t>This gives:</t>
  </si>
  <si>
    <t>VMT/day</t>
  </si>
  <si>
    <t>From HECO IRP 2013 Appendix E-10, p. E-113</t>
  </si>
  <si>
    <t>VMT/kWh</t>
  </si>
  <si>
    <t>GWh/year</t>
  </si>
  <si>
    <t>GWh sold for EVs</t>
  </si>
  <si>
    <t>Note: the curves below look almost exactly like a logistic curve with 50% adoption in 2033: (2*GWh_2033)/exp(-0.19*(year-2033))</t>
  </si>
  <si>
    <t>So we extend it just by flipping the curve and continuing toward saturation 21 years further along.</t>
  </si>
  <si>
    <t>Business as Usual</t>
  </si>
  <si>
    <t>Specifically, http://files.hawaii.gov/dbedt/economic/data_reports/energy-trends/Monthly_Energy_Data.xlsx</t>
  </si>
  <si>
    <t>Series</t>
  </si>
  <si>
    <t>Unit</t>
  </si>
  <si>
    <t>Registered Vehicles, Taxable</t>
  </si>
  <si>
    <t>Passenger, Electric</t>
  </si>
  <si>
    <t>Vehicle</t>
  </si>
  <si>
    <t>Passenger, Diesel</t>
  </si>
  <si>
    <t>Passenger, Gasoline</t>
  </si>
  <si>
    <t>Passenger, Hybrid</t>
  </si>
  <si>
    <t>Passenger, Misc Fuel</t>
  </si>
  <si>
    <t>Freight, Electric</t>
  </si>
  <si>
    <t>Freight, Diesel</t>
  </si>
  <si>
    <t>Freight, Gasoline</t>
  </si>
  <si>
    <t>Freight, Hybrid</t>
  </si>
  <si>
    <t>Freight, Misc Fuel</t>
  </si>
  <si>
    <t>Annual EV growth</t>
  </si>
  <si>
    <t>col</t>
  </si>
  <si>
    <t>total</t>
  </si>
  <si>
    <t>miles per vehicle per year</t>
  </si>
  <si>
    <t>GWh per vehicle per year (at 4 mi/kWh)</t>
  </si>
  <si>
    <t>energy (GWh)</t>
  </si>
  <si>
    <t>note: according to http://honolulucleancities.org/vmt-reduction/ or Fig. 16 of http://www.oahumpo.org/wp-content/uploads/2013/01/11.1.2AdoptedPlan20110411.pdf</t>
  </si>
  <si>
    <t>Oahu had 13,142,000 VMT/day in 2007, which is expected to rise to 15,610,300 by 2035</t>
  </si>
  <si>
    <t>Full Adoption</t>
  </si>
  <si>
    <t># vehicles</t>
  </si>
  <si>
    <t>Adoption %</t>
  </si>
  <si>
    <t>ICE miles per gallon</t>
  </si>
  <si>
    <t>EV extra cost per vehicle per year</t>
  </si>
  <si>
    <t>annual change</t>
  </si>
  <si>
    <t>EV miles per kWh</t>
  </si>
  <si>
    <t>50% level GWh (2033)</t>
  </si>
  <si>
    <t>total VMT (2014)</t>
  </si>
  <si>
    <t>VMT per vehicle (2014)</t>
  </si>
  <si>
    <t>&lt;- implied by above; differs from DBEDT monthly energy data (avg 716205 in 2014)</t>
  </si>
  <si>
    <t># gallons gasoline per vehicle per year</t>
  </si>
  <si>
    <t>%</t>
  </si>
  <si>
    <t>2014 vehicles</t>
  </si>
  <si>
    <t>GWh</t>
  </si>
  <si>
    <t>steepness</t>
  </si>
  <si>
    <t>middle year</t>
  </si>
  <si>
    <t>final %</t>
  </si>
  <si>
    <t>2014 miles</t>
  </si>
  <si>
    <t>number of vehicles</t>
  </si>
  <si>
    <t>VMT per vehicle</t>
  </si>
  <si>
    <t>Full Adoption - Logistic</t>
  </si>
  <si>
    <t>PSIP 2016-12</t>
  </si>
  <si>
    <t>Half Adoption</t>
  </si>
  <si>
    <t>Flat 2016</t>
  </si>
  <si>
    <t>params below could be used for a logistic model (as shown in "Full Adoption - Logistic"), but for simplicity we just duplicate/flip HECO projections instead</t>
  </si>
  <si>
    <t>Data for Oahu from http://dbedt.hawaii.gov/economic/energy-trends-2/</t>
  </si>
  <si>
    <t>fast (on route) charger cost ($/kW)</t>
  </si>
  <si>
    <t>diesel bus cost</t>
  </si>
  <si>
    <t>diesel bus cost ($/bus)</t>
  </si>
  <si>
    <t>small battery bus cost ($/bus)</t>
  </si>
  <si>
    <t>large battery bus cost ($/bus)</t>
  </si>
  <si>
    <t>share of buses and routes with small batteries and fast chargers</t>
  </si>
  <si>
    <t>share of buses and routes with large batteries and slow chargers</t>
  </si>
  <si>
    <t>fast charger cost estimates (2020, 2016$/kW)</t>
  </si>
  <si>
    <t>bus without battery ($/bus)</t>
  </si>
  <si>
    <t>kunith_electrification_2017</t>
  </si>
  <si>
    <t>bus cost estimates (standard size bus)</t>
  </si>
  <si>
    <t>fast charger power rating</t>
  </si>
  <si>
    <t>lajunen_lifecycle_2018</t>
  </si>
  <si>
    <t>fast chargers per route</t>
  </si>
  <si>
    <t>slow charger cost estimates</t>
  </si>
  <si>
    <t>slow charger power rating</t>
  </si>
  <si>
    <t>bus service life (years)</t>
  </si>
  <si>
    <t>small battery size (kWh)</t>
  </si>
  <si>
    <t>large battery size (kWh)</t>
  </si>
  <si>
    <t>lajunen_lifecycle_2018 (high power)</t>
  </si>
  <si>
    <t>battery (2016$/kWh)</t>
  </si>
  <si>
    <t>lajunen_lifecycle_2018 (high energy)</t>
  </si>
  <si>
    <t>H550</t>
  </si>
  <si>
    <t>route</t>
  </si>
  <si>
    <t>E11</t>
  </si>
  <si>
    <t>L51B</t>
  </si>
  <si>
    <t>L18</t>
  </si>
  <si>
    <t>overnight charging</t>
  </si>
  <si>
    <t>opportunity charging</t>
  </si>
  <si>
    <t>end station charging</t>
  </si>
  <si>
    <t>diesel</t>
  </si>
  <si>
    <t>&lt;- assumes equal weight to all routes and charging modes</t>
  </si>
  <si>
    <t>extra cost per bus (lajunen_lifecycle_2018, fig. 7)</t>
  </si>
  <si>
    <t>km/bus/day (assuming all same as overnight charging bus, Table 6a)</t>
  </si>
  <si>
    <t>maybe assume $X extra cost for chargers per average kWh used per day?</t>
  </si>
  <si>
    <t>$2000 for EVSE for ~8 kWh/day ($250/kWh/day)</t>
  </si>
  <si>
    <t>(much more for fast-charging, including on-route charging)</t>
  </si>
  <si>
    <t>EVSE costs? https://www.homeadvisor.com/cost/garages/install-an-electric-vehicle-charging-station/</t>
  </si>
  <si>
    <t>bus charging infrastructure costs:</t>
  </si>
  <si>
    <t>https://ieeexplore.ieee.org/document/6958138/</t>
  </si>
  <si>
    <t>https://cleantechnica.com/2018/04/29/no-need-to-wait-electric-buses-are-cost-competitive-transit-buses-today/</t>
  </si>
  <si>
    <t>** This says charging stations (in Aspen) cost $80k each plus $80k for installation: https://cleantechnica.com/2017/06/19/aspen-spend-7-5-million-electric-buses-charging-stations/ (also gives bus purchase costs). Presumably this is EVSE rather than fast charger. For maybe 320 kWh bus? Fully charged every day? So maybe $160k for 320 kWh/day -&gt; $500/kWh/day. But these are probably fast chargers, since they are only buying 4 chargers for 8 buses.</t>
  </si>
  <si>
    <t>This (http://evtc.fsec.ucf.edu/research/project14.html) says "The capital and installation cost of the fast charger in Tallahassee was $1.165 million. As a result, early adopters of EBs will likely start with only one fast charger. These results showed that, in the case of StarMetro's current route, 13 EBs is the theoretical maximum that one fast charger can accommodate. The average demand charge costs per bus generally decrease with increased fleet size."</t>
  </si>
  <si>
    <t>This ( https://www.naseo.org/Data/Sites/1/ev_naseo-presentation.pdf) says "50 KW per vehicle. Proterra has added 50 vehicles of power capacity in one Burlingame location via a 2.5 MW transformer upgrade. Cost $900,000... time &lt; 6 months." Not clear if that includes the cost of the chargers themselves.</t>
  </si>
  <si>
    <t>p. 13 of this (https://www.naseo.org/Data/Sites/1/ev_naseo-presentation.pdf) compares various cost factors.</t>
  </si>
  <si>
    <t>This (https://insideevs.com/abb-shows-off-new-heavy-vehicle-charger-for-electric-buses-inks-20-million-order/) seems to say that fast chargers providing 400-600 kW charges (for on-route or fast off-route charging) cost about $1M each.</t>
  </si>
  <si>
    <t>(chinese context, hard to tell if costs are estimates or aspirations, and they seem to be from 2012)</t>
  </si>
  <si>
    <t>cost per bus per year (2016$) (note: charging equipment is about 10% of this)</t>
  </si>
  <si>
    <t>charging infrastructure (approx. from lajunen and kunith)</t>
  </si>
  <si>
    <t>annual cost difference, not including charging infrastructure</t>
  </si>
  <si>
    <t>total annual cost difference</t>
  </si>
  <si>
    <t>eudy_foothill_2016 (Table 1) (also in eudy_foothill_2017)</t>
  </si>
  <si>
    <t>This page says battery-electric cost has come down further since eudy_foothill_2017: https://cleantechnica.com/2017/08/15/proterra-electric-buses-8x-efficient-cng-powered-cousins/</t>
  </si>
  <si>
    <t>*** This report (https://www.transit.dot.gov/sites/fta.dot.gov/files/Electric_Drive_Bus_Analysis_0.pdf) says "Fuel efficiency improvements are dependent on hybrid system architecture and bus duty cycle. To date, hybrid buses in service are showing approximately 10% to 50% better fuel economy". We could assume that business-as-usual is a transition to hybrid buses with 1.4 x mpg at no extra cost by 2045.</t>
  </si>
  <si>
    <t>See avg. miles and test cycle EER in carb_battery_2018 Fig. 1</t>
  </si>
  <si>
    <t>More info on bus/truck efficiency</t>
  </si>
  <si>
    <t>http://www.columbia.edu/~ja3041/Electric%20Bus%20Analysis%20for%20NYC%20Transit%20by%20J%20Aber%20Columbia%20University%20-%20May%202016.pdf</t>
  </si>
  <si>
    <t>duty cycle:</t>
  </si>
  <si>
    <t>10pm and 6am</t>
  </si>
  <si>
    <t>buses</t>
  </si>
  <si>
    <t>assume flat charging (some at depot, some on route)</t>
  </si>
  <si>
    <t>delivery trucks</t>
  </si>
  <si>
    <t>more info on truck and bus travel times and charging strategies:</t>
  </si>
  <si>
    <t>http://mobilityintegrationsymposium.org/wp-content/uploads/sites/7/2017/11/3B_1_EMob17_024_paper_Dietmannsberger_Markus.pdf</t>
  </si>
  <si>
    <t>https://www.researchgate.net/profile/Zhiming_Gao3/publication/313276075_E-BUS_ENERGYJ/data/5894abe5a6fdcc45530effe5/E-BUS-ENERGYJ.pdf</t>
  </si>
  <si>
    <t>http://www.calstart.org/Libraries/Publications/Peak_Demand_Charges_and_Electric_Transit_Buses_White_Paper.sflb.ashx</t>
  </si>
  <si>
    <t>https://www.thetruthaboutcars.com/2008/02/do-buses-save-gas/</t>
  </si>
  <si>
    <t>other data sources for charging infrastructure costs</t>
  </si>
  <si>
    <t>matches Figure 6 of hallenbeck_vehicle_1997; assume business trucks charge at night, since they're out doing deliveries during the day and can't count on charging at delivery location or using bus-style on-route charging. may be flexible within this window though.</t>
  </si>
  <si>
    <t>gallo_peak_2014 and engel_best_2018 discuss practices for charging, options for on route vs. overnight (also shown in lajunen_lifecycle_2018 and https://www.proterra.com/technology/chargers/)</t>
  </si>
  <si>
    <t>dbedt_monthly_2018</t>
  </si>
  <si>
    <t>Oahu gasoline use in 2016 (gals)</t>
  </si>
  <si>
    <t>Oahu highway diesel use in 2016 (gals)</t>
  </si>
  <si>
    <t>Oahu bus diesel use in 2016 (gals)</t>
  </si>
  <si>
    <t>fta_national_2018</t>
  </si>
  <si>
    <t>Assumed Oahu delivery truck diesel use</t>
  </si>
  <si>
    <t>diff of above values</t>
  </si>
  <si>
    <t>&lt;- very little gasoline used for buses</t>
  </si>
  <si>
    <t>More info on Oahu bus usage (gals of fuel, miles covered)</t>
  </si>
  <si>
    <t>https://www.transit.dot.gov/ntd/ntd-data (see "2016 Annual Database Energy Consumption" and "2016 Fuel and Energy" (search for "Energy"))</t>
  </si>
  <si>
    <t>bus miles (not just for revenue): https://data.hawaii.gov/api/views/88uj-hez9/rows.csv?accessType=DOWNLOAD (linked from https://catalog.data.gov/dataset?tags=bus&amp;page=4)</t>
  </si>
  <si>
    <t>do similar for electric cars, but use NHTSA travel profiles</t>
  </si>
  <si>
    <t>do transition path with total kWh equivalent to current diesel use, with buses charging as baseload and trucks charging during the best time of night (between 10pm and 6am per Figure 6 of http://depts.washington.edu/trac/bulkdisk/pdf/VVD_CLASS.pdf). Note: we include all other diesel consumers in the trucks category (e.g., private buses), but that seems reasonable since they probably follow a similar schedule (out in the day, back at night). We also include most on-demand service from the bus company (gasoline based) in the general commute category, but that also seems reasonable, since they follow a similar driving pattern to private cars.</t>
  </si>
  <si>
    <t>&lt;- from dbedt_2016_2017, section 18; original data is county inspections</t>
  </si>
  <si>
    <t>dbedt_2016_2017, table 18.25</t>
  </si>
  <si>
    <t>Oahu registered, taxable diesel passenger vehicles (2016)</t>
  </si>
  <si>
    <t>Oahu registered, taxable diesel freight vehicles (2016)</t>
  </si>
  <si>
    <t>calculated from above</t>
  </si>
  <si>
    <t>number of city buses on Oahu (2014)</t>
  </si>
  <si>
    <t>number of passenger electric vehicles on Oahu (2016)</t>
  </si>
  <si>
    <t>number of passenger gasoline+hybrid vehicles on Oahu (2016)</t>
  </si>
  <si>
    <t>number of gasoline+hybrid freight vehicles on Oahu (2016)</t>
  </si>
  <si>
    <t>gal/veh/year</t>
  </si>
  <si>
    <t>https://www.eia.gov/Energyexplained/?page=about_energy_units</t>
  </si>
  <si>
    <t>gasoline Btu/gal</t>
  </si>
  <si>
    <t>diesel Btu/gal</t>
  </si>
  <si>
    <t>Btu/kWh</t>
  </si>
  <si>
    <t>kWh/gal gasoline</t>
  </si>
  <si>
    <t>kWh/gal diesel</t>
  </si>
  <si>
    <t>based on 2017 Nissan Leaf vs. 2017 Nissan Versa automatic or 2017 Ford Focus electric vs. Ford Focus gasoline automatic (AM6), from http://www.fueleconomy.gov</t>
  </si>
  <si>
    <t>based on comparison of 2018 Ford Focus EV and Ford Focus Titanium sedan (similar features), https://www.ford.com/cars/focus/models/focus-electric/ and https://www.ford.com/cars/focus/models/focus-titanium-hatch/</t>
  </si>
  <si>
    <t>5-station cost from agenbroad_pulling_2014 (assume workplaces and depots would get multiple installations; ignore progress in costs since 2014)</t>
  </si>
  <si>
    <t>agenbroad_pulling_2014; note: this uses $700 hardware cost, but they're more like $500 on Home Depot website in 2018</t>
  </si>
  <si>
    <t>home charging station cost, incl installation</t>
  </si>
  <si>
    <t>EV vs. standard gasoline vehicle</t>
  </si>
  <si>
    <t>vehicle cost difference for battery electric vs standard vehicle</t>
  </si>
  <si>
    <t>truck</t>
  </si>
  <si>
    <t>bus</t>
  </si>
  <si>
    <t>assumed proportional to annual fuel consumption (i.e., work done per year)</t>
  </si>
  <si>
    <t>cng bus cost</t>
  </si>
  <si>
    <t>battery-electric bus cost (88 kWh battery)</t>
  </si>
  <si>
    <t>&lt;- would be $697,320 per kunith bus/battery costs, which are higher than lajunen</t>
  </si>
  <si>
    <t>Cost of charging infrastructure (per vehicle)</t>
  </si>
  <si>
    <t>extra cost for electric bus</t>
  </si>
  <si>
    <t>(pixels) bus capital, 12 years (at start)</t>
  </si>
  <si>
    <t>(pixels) battery replacements, 12 years (at year 9)</t>
  </si>
  <si>
    <t>(pixels) charging equipment, 12 years (at start)</t>
  </si>
  <si>
    <t>euros/km per pixel</t>
  </si>
  <si>
    <t>dollars per euro</t>
  </si>
  <si>
    <t>battery replacements (dollars), year 9</t>
  </si>
  <si>
    <t>charging equipment (dollars per bus), year 1</t>
  </si>
  <si>
    <t>bus capital cost (dollars), year 1</t>
  </si>
  <si>
    <t>electric bus cost</t>
  </si>
  <si>
    <t>NPV battery replacements</t>
  </si>
  <si>
    <t>difference</t>
  </si>
  <si>
    <t>charging infrastructure cost (per bus)</t>
  </si>
  <si>
    <t>bus battery cost</t>
  </si>
  <si>
    <t>euros per pixel</t>
  </si>
  <si>
    <t>bus cost without batteries</t>
  </si>
  <si>
    <t>chargers cost</t>
  </si>
  <si>
    <t>extra cost per bus (kunith_electrification_2017 fig. 3, avg of 17 buses and routes)</t>
  </si>
  <si>
    <t>diff vs. diesel bus (using lajunen diesel cost)</t>
  </si>
  <si>
    <t>&lt;- average of kunith and lajunen estimates below, in line with eudy too</t>
  </si>
  <si>
    <t>&lt;- average of kunith and lajunen estimates below</t>
  </si>
  <si>
    <t>dual-station cost from agenbroad_pulling_2014 (ignores progress in costs since 2014)</t>
  </si>
  <si>
    <t>garage level 2 charging station</t>
  </si>
  <si>
    <t>curbside level 2 charging station</t>
  </si>
  <si>
    <t>buses (realistic mix of on-route and overnight charging)</t>
  </si>
  <si>
    <t>efficiency vs. standard vehicle</t>
  </si>
  <si>
    <t>diesel truck or bus in 2045 vs. 2020</t>
  </si>
  <si>
    <t>electric bus vs. diesel</t>
  </si>
  <si>
    <t>electric truck vs. diesel</t>
  </si>
  <si>
    <t>electric car vs. gasoline</t>
  </si>
  <si>
    <t>gasoline car in 2045 vs 2020</t>
  </si>
  <si>
    <t>equal to improvement in CAFÉ standards and new car efficiency between 1995 and 2015 (but whole light vehicle fleet only improved by 12%)</t>
  </si>
  <si>
    <t>overall assumptions</t>
  </si>
  <si>
    <t>model maximum and minimum allowed charging rate for each segment of the fleet each hour, and total charge required</t>
  </si>
  <si>
    <t>segments:</t>
  </si>
  <si>
    <t>have BAU cases (max and min predefined) and optimal cases (some leeway)</t>
  </si>
  <si>
    <t>home-charging gasoline vehicles</t>
  </si>
  <si>
    <t>work-charging gasoline vehicles</t>
  </si>
  <si>
    <t>company-owned gasoline vehicles</t>
  </si>
  <si>
    <t>charge at night</t>
  </si>
  <si>
    <t>charge during work dwell time</t>
  </si>
  <si>
    <t>assume all gasoline vehicles are on 3 kW chargers (equivalent to plugging in every other day on a 6 kW charger)</t>
  </si>
  <si>
    <t>70% of home-chargeable vehicles</t>
  </si>
  <si>
    <t>all other personal vehicles</t>
  </si>
  <si>
    <t>all gasoline vehicles minus personal vehicles</t>
  </si>
  <si>
    <t>curb-charging gasoline vehicles</t>
  </si>
  <si>
    <t>50% of non-home-chargeable personal vehicles (above 2 per detached home or 1 per apartment)</t>
  </si>
  <si>
    <t>home garage charging gasoline vehicles</t>
  </si>
  <si>
    <t>50% of personal vehicles above 1 per apartment</t>
  </si>
  <si>
    <t>charge during home dwell time</t>
  </si>
  <si>
    <t>non-bus diesel vehicles</t>
  </si>
  <si>
    <t>on-route city buses</t>
  </si>
  <si>
    <t>50% of bus fleet</t>
  </si>
  <si>
    <t>overnight-charging city buses</t>
  </si>
  <si>
    <t>charge as baseload during day</t>
  </si>
  <si>
    <t>charge as baseload to minimize charger investment and demand charge</t>
  </si>
  <si>
    <t>assume 6 kW charger</t>
  </si>
  <si>
    <t>see schedule in hallenbeck_vehicle_1997</t>
  </si>
  <si>
    <t>use urban truck schedule from hallenbeck_vehicle_1997</t>
  </si>
  <si>
    <t>split flexible groups below into day/night charging windows, then re-aggregate to get day/night charging requirements (when setting up flexible charging)</t>
  </si>
  <si>
    <t>create numpy matrices with one row for each vehicle or homogeneous class</t>
  </si>
  <si>
    <t xml:space="preserve">matrices show availability (yes/no) in each hour, </t>
  </si>
  <si>
    <t>one row per vehicle, one column per hour of day</t>
  </si>
  <si>
    <t>sort hour indexes by unavailability of vehicle, price, time of day</t>
  </si>
  <si>
    <t>set first floor(charge req/charge rate) indices to charge rate</t>
  </si>
  <si>
    <t>set next index to remainder(charge req/charge rate)</t>
  </si>
  <si>
    <t>create flat file with vehicle id, hour within window, num hours needed, availability, rate (maybe), price (repeat hourly vector enough times)</t>
  </si>
  <si>
    <t>create new frame sorted by vehicle, availability, price, hour number; assign priority for each hour for each vehicle (1-24)</t>
  </si>
  <si>
    <t>assign full charging in all hours with priority &lt;= num_needed; assign partial charging in all hours with priority == floor(num_needed)</t>
  </si>
  <si>
    <t>number of private diesel cars/buses/trucks on Oahu (2016)</t>
  </si>
  <si>
    <t>Number of vehicles in various types of household</t>
  </si>
  <si>
    <t>See "Census household vehicle counts.ipynb" for calculations</t>
  </si>
  <si>
    <t>Data from uscb_2016_2018</t>
  </si>
  <si>
    <t>https://www.census.gov/programs-surveys/acs/data/pums.html</t>
  </si>
  <si>
    <t>https://www2.census.gov/programs-surveys/acs/data/pums/2016/1-Year/csv_hhi.zip</t>
  </si>
  <si>
    <t>apartments - curb</t>
  </si>
  <si>
    <t>apartments - garage</t>
  </si>
  <si>
    <t>Vehicle parking location for Oahu households</t>
  </si>
  <si>
    <t>Notes:</t>
  </si>
  <si>
    <t>We treat households with 6+ as 6 vehicles.</t>
  </si>
  <si>
    <t>We treat everything except detached houses as apartments</t>
  </si>
  <si>
    <t>We assume 2 vehicles can charge in garage per house and 1 vehicle can charge in garage/lot per apartment</t>
  </si>
  <si>
    <t>house - garage/carport/driveway</t>
  </si>
  <si>
    <t>house - curb</t>
  </si>
  <si>
    <t>number</t>
  </si>
  <si>
    <t>allocation to locations</t>
  </si>
  <si>
    <t>home charger</t>
  </si>
  <si>
    <t>work garage charger</t>
  </si>
  <si>
    <t>home curb charger</t>
  </si>
  <si>
    <t>apartment garage charger</t>
  </si>
  <si>
    <t>number of vehicles, by charging location</t>
  </si>
  <si>
    <t>share of vehicles, by charging location</t>
  </si>
  <si>
    <t>apartment curb charger</t>
  </si>
  <si>
    <t>share of vehicles charging during work hours</t>
  </si>
  <si>
    <t>share of vehicles charging during home hours</t>
  </si>
  <si>
    <t>According to data from the 2017 National Household Travel Survey, only 42.7% of Oahu vehicles are at work long enough to charge in a single stretch each day.</t>
  </si>
  <si>
    <t>So we restrict work-time charging 35% or less in each class.</t>
  </si>
  <si>
    <t>City buses - charge on route</t>
  </si>
  <si>
    <t>City buses - charge overnight</t>
  </si>
  <si>
    <t>Non-city-bus diesel passenger vehicles</t>
  </si>
  <si>
    <t>kWh per year</t>
  </si>
  <si>
    <t>Freight gasoline vehicles</t>
  </si>
  <si>
    <t>gals fuel per year (2020)</t>
  </si>
  <si>
    <t>gals fuel per year (2045)</t>
  </si>
  <si>
    <t>charger capital cost</t>
  </si>
  <si>
    <t>Freight diesel vehicles</t>
  </si>
  <si>
    <t>EV extra capital cost</t>
  </si>
  <si>
    <t>Business passenger gasoline vehicles</t>
  </si>
  <si>
    <t>charger rating (kW)</t>
  </si>
  <si>
    <t>vehicle type</t>
  </si>
  <si>
    <t>Number of days in reference year</t>
  </si>
  <si>
    <t>average MW (total)</t>
  </si>
  <si>
    <t>peak MW</t>
  </si>
  <si>
    <t>Population covered by household data</t>
  </si>
  <si>
    <t>Oahu population in 2016</t>
  </si>
  <si>
    <t>from https://factfinder.census.gov/faces/tableservices/jsf/pages/productview.xhtml?src=bkmk</t>
  </si>
  <si>
    <t>sum of NP * WGTP fields for all households in survey; note that the survey omits group quarters</t>
  </si>
  <si>
    <t>Estimated private vehicle fleet size</t>
  </si>
  <si>
    <t>Passenger gasoline vehicles</t>
  </si>
  <si>
    <t>early charge start</t>
  </si>
  <si>
    <t>late charge start</t>
  </si>
  <si>
    <t>early charge end</t>
  </si>
  <si>
    <t>late charge end</t>
  </si>
  <si>
    <t>Gasoline</t>
  </si>
  <si>
    <t>Diesel</t>
  </si>
  <si>
    <t>ICE fuel</t>
  </si>
  <si>
    <t>EV extra capital cost per year (2045)</t>
  </si>
  <si>
    <t>EV extra capital cost per year (2020)</t>
  </si>
  <si>
    <t>Oahu</t>
  </si>
  <si>
    <t>load_zone</t>
  </si>
  <si>
    <t>2018 passenger vehicles</t>
  </si>
  <si>
    <t>EoT 2018</t>
  </si>
  <si>
    <t>https://www.hawaiianelectric.com/documents/clean_energy_hawaii/electrification_of_transportation/201803_eot_roadmap.pdf</t>
  </si>
  <si>
    <t>year</t>
  </si>
  <si>
    <t>EV % of LDVs</t>
  </si>
  <si>
    <t>assume reverse after midpoint</t>
  </si>
  <si>
    <t>From p. 34 of HECO Electrification of Transport study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</si>
</sst>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3" formatCode="_(* #,##0.00_);_(* \(#,##0.00\);_(* &quot;-&quot;??_);_(@_)"/>
    <numFmt numFmtId="164" formatCode="0.000"/>
    <numFmt numFmtId="165" formatCode="_(* #,##0_);_(* \(#,##0\);_(* &quot;-&quot;??_);_(@_)"/>
    <numFmt numFmtId="166" formatCode="&quot;$&quot;#,##0"/>
    <numFmt numFmtId="167" formatCode="0.0%"/>
    <numFmt numFmtId="168" formatCode="[$-409]mmm\-yy;@"/>
    <numFmt numFmtId="169" formatCode="0.000%"/>
    <numFmt numFmtId="171" formatCode="0.0000"/>
  </numFmts>
  <fonts count="1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0432FF"/>
      <name val="Calibri"/>
      <family val="2"/>
      <scheme val="minor"/>
    </font>
    <font>
      <b/>
      <sz val="12"/>
      <color rgb="FF0432FF"/>
      <name val="Calibri"/>
      <family val="2"/>
      <scheme val="minor"/>
    </font>
    <font>
      <b/>
      <sz val="12"/>
      <color theme="1"/>
      <name val="Calibri"/>
      <family val="2"/>
      <scheme val="minor"/>
    </font>
    <font>
      <b/>
      <sz val="11"/>
      <color theme="1"/>
      <name val="Calibri"/>
      <family val="2"/>
      <scheme val="minor"/>
    </font>
    <font>
      <sz val="12"/>
      <color rgb="FF000000"/>
      <name val="Calibri"/>
      <family val="2"/>
      <scheme val="minor"/>
    </font>
    <font>
      <b/>
      <sz val="12"/>
      <color rgb="FF000000"/>
      <name val="Calibri"/>
      <family val="2"/>
      <scheme val="minor"/>
    </font>
    <font>
      <sz val="9"/>
      <color indexed="81"/>
      <name val="Calibri"/>
      <family val="2"/>
    </font>
    <font>
      <b/>
      <sz val="12"/>
      <color theme="0" tint="-0.34998626667073579"/>
      <name val="Calibri"/>
      <family val="2"/>
      <scheme val="minor"/>
    </font>
    <font>
      <sz val="12"/>
      <color theme="0" tint="-0.34998626667073579"/>
      <name val="Calibri"/>
      <family val="2"/>
      <scheme val="minor"/>
    </font>
    <font>
      <sz val="9"/>
      <color rgb="FF000000"/>
      <name val="Calibri"/>
      <family val="2"/>
    </font>
  </fonts>
  <fills count="2">
    <fill>
      <patternFill patternType="none"/>
    </fill>
    <fill>
      <patternFill patternType="gray125"/>
    </fill>
  </fills>
  <borders count="1">
    <border>
      <left/>
      <right/>
      <top/>
      <bottom/>
      <diagonal/>
    </border>
  </borders>
  <cellStyleXfs count="44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3" fontId="0" fillId="0" borderId="0" xfId="0" applyNumberFormat="1"/>
    <xf numFmtId="164" fontId="0" fillId="0" borderId="0" xfId="0" applyNumberFormat="1"/>
    <xf numFmtId="0" fontId="4" fillId="0" borderId="0" xfId="0" applyFont="1"/>
    <xf numFmtId="0" fontId="5" fillId="0" borderId="0" xfId="0" applyFont="1"/>
    <xf numFmtId="0" fontId="7" fillId="0" borderId="0" xfId="0" applyFont="1"/>
    <xf numFmtId="17" fontId="7" fillId="0" borderId="0" xfId="0" applyNumberFormat="1" applyFont="1"/>
    <xf numFmtId="0" fontId="6" fillId="0" borderId="0" xfId="0" applyFont="1"/>
    <xf numFmtId="0" fontId="8" fillId="0" borderId="0" xfId="0" applyFont="1"/>
    <xf numFmtId="0" fontId="9" fillId="0" borderId="0" xfId="0" applyFont="1"/>
    <xf numFmtId="0" fontId="0" fillId="0" borderId="0" xfId="0" applyFont="1"/>
    <xf numFmtId="3" fontId="6" fillId="0" borderId="0" xfId="0" applyNumberFormat="1" applyFont="1"/>
    <xf numFmtId="165" fontId="0" fillId="0" borderId="0" xfId="133" applyNumberFormat="1" applyFont="1"/>
    <xf numFmtId="166" fontId="0" fillId="0" borderId="0" xfId="133" applyNumberFormat="1" applyFont="1"/>
    <xf numFmtId="166" fontId="0" fillId="0" borderId="0" xfId="0" applyNumberFormat="1"/>
    <xf numFmtId="8" fontId="0" fillId="0" borderId="0" xfId="0" applyNumberFormat="1"/>
    <xf numFmtId="166" fontId="6" fillId="0" borderId="0" xfId="0" applyNumberFormat="1" applyFont="1"/>
    <xf numFmtId="0" fontId="0" fillId="0" borderId="0" xfId="0" quotePrefix="1"/>
    <xf numFmtId="165" fontId="0" fillId="0" borderId="0" xfId="0" applyNumberFormat="1"/>
    <xf numFmtId="43" fontId="0" fillId="0" borderId="0" xfId="0" applyNumberFormat="1"/>
    <xf numFmtId="166" fontId="6" fillId="0" borderId="0" xfId="133" applyNumberFormat="1" applyFont="1"/>
    <xf numFmtId="0" fontId="6" fillId="0" borderId="0" xfId="0" quotePrefix="1" applyFont="1"/>
    <xf numFmtId="0" fontId="0" fillId="0" borderId="0" xfId="0" applyAlignment="1">
      <alignment horizontal="left" wrapText="1"/>
    </xf>
    <xf numFmtId="0" fontId="0" fillId="0" borderId="0" xfId="0" applyAlignment="1">
      <alignment horizontal="left" vertical="top" wrapText="1"/>
    </xf>
    <xf numFmtId="9" fontId="0" fillId="0" borderId="0" xfId="0" applyNumberFormat="1"/>
    <xf numFmtId="3" fontId="0" fillId="0" borderId="0" xfId="133" applyNumberFormat="1" applyFont="1"/>
    <xf numFmtId="167" fontId="0" fillId="0" borderId="0" xfId="0" applyNumberFormat="1"/>
    <xf numFmtId="165" fontId="6" fillId="0" borderId="0" xfId="0" applyNumberFormat="1" applyFont="1"/>
    <xf numFmtId="166" fontId="8" fillId="0" borderId="0" xfId="0" applyNumberFormat="1" applyFont="1"/>
    <xf numFmtId="0" fontId="11" fillId="0" borderId="0" xfId="0" applyFont="1"/>
    <xf numFmtId="3" fontId="12" fillId="0" borderId="0" xfId="0" applyNumberFormat="1" applyFont="1"/>
    <xf numFmtId="43" fontId="12" fillId="0" borderId="0" xfId="0" applyNumberFormat="1" applyFont="1"/>
    <xf numFmtId="0" fontId="12" fillId="0" borderId="0" xfId="0" applyFont="1"/>
    <xf numFmtId="166" fontId="12" fillId="0" borderId="0" xfId="0" applyNumberFormat="1" applyFont="1"/>
    <xf numFmtId="3" fontId="0" fillId="0" borderId="0" xfId="0" applyNumberFormat="1" applyFont="1"/>
    <xf numFmtId="168" fontId="7" fillId="0" borderId="0" xfId="0" applyNumberFormat="1" applyFont="1"/>
    <xf numFmtId="0" fontId="0" fillId="0" borderId="0" xfId="0" applyAlignment="1">
      <alignment horizontal="left" wrapText="1"/>
    </xf>
    <xf numFmtId="0" fontId="2" fillId="0" borderId="0" xfId="445"/>
    <xf numFmtId="169" fontId="0" fillId="0" borderId="0" xfId="0" applyNumberFormat="1"/>
    <xf numFmtId="171" fontId="0" fillId="0" borderId="0" xfId="0" applyNumberFormat="1"/>
    <xf numFmtId="169" fontId="6" fillId="0" borderId="0" xfId="0" applyNumberFormat="1" applyFont="1"/>
  </cellXfs>
  <cellStyles count="446">
    <cellStyle name="Comma" xfId="133"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6.xml.rels><?xml version="1.0" encoding="UTF-8" standalone="yes"?>
<Relationships xmlns="http://schemas.openxmlformats.org/package/2006/relationships"><Relationship Id="rId3" Type="http://schemas.openxmlformats.org/officeDocument/2006/relationships/image" Target="../media/image1.emf"/><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outputs!$T$13</c:f>
              <c:strCache>
                <c:ptCount val="1"/>
                <c:pt idx="0">
                  <c:v>Blazing a Bold Frontier</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outputs!$T$27:$T$64</c:f>
              <c:numCache>
                <c:formatCode>General</c:formatCode>
                <c:ptCount val="38"/>
                <c:pt idx="0">
                  <c:v>7</c:v>
                </c:pt>
                <c:pt idx="1">
                  <c:v>12</c:v>
                </c:pt>
                <c:pt idx="2">
                  <c:v>17</c:v>
                </c:pt>
                <c:pt idx="3">
                  <c:v>27</c:v>
                </c:pt>
                <c:pt idx="4">
                  <c:v>39</c:v>
                </c:pt>
                <c:pt idx="5">
                  <c:v>54</c:v>
                </c:pt>
                <c:pt idx="6">
                  <c:v>71</c:v>
                </c:pt>
                <c:pt idx="7">
                  <c:v>92</c:v>
                </c:pt>
                <c:pt idx="8">
                  <c:v>116.99999999999999</c:v>
                </c:pt>
                <c:pt idx="9">
                  <c:v>145</c:v>
                </c:pt>
                <c:pt idx="10">
                  <c:v>176</c:v>
                </c:pt>
                <c:pt idx="11">
                  <c:v>210.99999999999997</c:v>
                </c:pt>
                <c:pt idx="12">
                  <c:v>248</c:v>
                </c:pt>
                <c:pt idx="13">
                  <c:v>290</c:v>
                </c:pt>
                <c:pt idx="14">
                  <c:v>333</c:v>
                </c:pt>
                <c:pt idx="15">
                  <c:v>379</c:v>
                </c:pt>
                <c:pt idx="16">
                  <c:v>428</c:v>
                </c:pt>
                <c:pt idx="17">
                  <c:v>479</c:v>
                </c:pt>
                <c:pt idx="18">
                  <c:v>532</c:v>
                </c:pt>
                <c:pt idx="19">
                  <c:v>584</c:v>
                </c:pt>
                <c:pt idx="20">
                  <c:v>637</c:v>
                </c:pt>
                <c:pt idx="21">
                  <c:v>690</c:v>
                </c:pt>
                <c:pt idx="22">
                  <c:v>742</c:v>
                </c:pt>
                <c:pt idx="23">
                  <c:v>795</c:v>
                </c:pt>
                <c:pt idx="24">
                  <c:v>846</c:v>
                </c:pt>
                <c:pt idx="25">
                  <c:v>895</c:v>
                </c:pt>
                <c:pt idx="26">
                  <c:v>941</c:v>
                </c:pt>
                <c:pt idx="27">
                  <c:v>984</c:v>
                </c:pt>
                <c:pt idx="28">
                  <c:v>1026</c:v>
                </c:pt>
                <c:pt idx="29">
                  <c:v>1063</c:v>
                </c:pt>
                <c:pt idx="30">
                  <c:v>1098</c:v>
                </c:pt>
                <c:pt idx="31">
                  <c:v>1129</c:v>
                </c:pt>
                <c:pt idx="32">
                  <c:v>1157</c:v>
                </c:pt>
                <c:pt idx="33">
                  <c:v>1182</c:v>
                </c:pt>
                <c:pt idx="34">
                  <c:v>1203</c:v>
                </c:pt>
                <c:pt idx="35">
                  <c:v>1220</c:v>
                </c:pt>
                <c:pt idx="36">
                  <c:v>1235</c:v>
                </c:pt>
                <c:pt idx="37">
                  <c:v>1247</c:v>
                </c:pt>
              </c:numCache>
            </c:numRef>
          </c:val>
          <c:smooth val="0"/>
          <c:extLst>
            <c:ext xmlns:c16="http://schemas.microsoft.com/office/drawing/2014/chart" uri="{C3380CC4-5D6E-409C-BE32-E72D297353CC}">
              <c16:uniqueId val="{00000000-059E-1840-B0B9-5E8BD4E14431}"/>
            </c:ext>
          </c:extLst>
        </c:ser>
        <c:ser>
          <c:idx val="1"/>
          <c:order val="1"/>
          <c:tx>
            <c:strRef>
              <c:f>outputs!$U$13</c:f>
              <c:strCache>
                <c:ptCount val="1"/>
                <c:pt idx="0">
                  <c:v>Stuck in the Middle</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outputs!$U$27:$U$64</c:f>
              <c:numCache>
                <c:formatCode>General</c:formatCode>
                <c:ptCount val="38"/>
                <c:pt idx="0">
                  <c:v>4</c:v>
                </c:pt>
                <c:pt idx="1">
                  <c:v>6</c:v>
                </c:pt>
                <c:pt idx="2">
                  <c:v>9</c:v>
                </c:pt>
                <c:pt idx="3">
                  <c:v>13</c:v>
                </c:pt>
                <c:pt idx="4">
                  <c:v>20</c:v>
                </c:pt>
                <c:pt idx="5">
                  <c:v>27</c:v>
                </c:pt>
                <c:pt idx="6">
                  <c:v>36</c:v>
                </c:pt>
                <c:pt idx="7">
                  <c:v>46</c:v>
                </c:pt>
                <c:pt idx="8">
                  <c:v>58</c:v>
                </c:pt>
                <c:pt idx="9">
                  <c:v>72</c:v>
                </c:pt>
                <c:pt idx="10">
                  <c:v>88</c:v>
                </c:pt>
                <c:pt idx="11">
                  <c:v>105</c:v>
                </c:pt>
                <c:pt idx="12">
                  <c:v>124</c:v>
                </c:pt>
                <c:pt idx="13">
                  <c:v>145</c:v>
                </c:pt>
                <c:pt idx="14">
                  <c:v>167</c:v>
                </c:pt>
                <c:pt idx="15">
                  <c:v>190</c:v>
                </c:pt>
                <c:pt idx="16">
                  <c:v>214</c:v>
                </c:pt>
                <c:pt idx="17">
                  <c:v>238.99999999999997</c:v>
                </c:pt>
                <c:pt idx="18">
                  <c:v>266</c:v>
                </c:pt>
                <c:pt idx="19">
                  <c:v>292</c:v>
                </c:pt>
                <c:pt idx="20">
                  <c:v>319</c:v>
                </c:pt>
                <c:pt idx="21">
                  <c:v>346</c:v>
                </c:pt>
                <c:pt idx="22">
                  <c:v>372</c:v>
                </c:pt>
                <c:pt idx="23">
                  <c:v>399</c:v>
                </c:pt>
                <c:pt idx="24">
                  <c:v>424</c:v>
                </c:pt>
                <c:pt idx="25">
                  <c:v>448</c:v>
                </c:pt>
                <c:pt idx="26">
                  <c:v>470.99999999999994</c:v>
                </c:pt>
                <c:pt idx="27">
                  <c:v>493</c:v>
                </c:pt>
                <c:pt idx="28">
                  <c:v>513.99999999999989</c:v>
                </c:pt>
                <c:pt idx="29">
                  <c:v>532.99999999999989</c:v>
                </c:pt>
                <c:pt idx="30">
                  <c:v>550</c:v>
                </c:pt>
                <c:pt idx="31">
                  <c:v>566</c:v>
                </c:pt>
                <c:pt idx="32">
                  <c:v>580</c:v>
                </c:pt>
                <c:pt idx="33">
                  <c:v>592</c:v>
                </c:pt>
                <c:pt idx="34">
                  <c:v>602</c:v>
                </c:pt>
                <c:pt idx="35">
                  <c:v>611</c:v>
                </c:pt>
                <c:pt idx="36">
                  <c:v>618</c:v>
                </c:pt>
                <c:pt idx="37">
                  <c:v>625</c:v>
                </c:pt>
              </c:numCache>
            </c:numRef>
          </c:val>
          <c:smooth val="0"/>
          <c:extLst>
            <c:ext xmlns:c16="http://schemas.microsoft.com/office/drawing/2014/chart" uri="{C3380CC4-5D6E-409C-BE32-E72D297353CC}">
              <c16:uniqueId val="{00000001-059E-1840-B0B9-5E8BD4E14431}"/>
            </c:ext>
          </c:extLst>
        </c:ser>
        <c:ser>
          <c:idx val="2"/>
          <c:order val="2"/>
          <c:tx>
            <c:strRef>
              <c:f>outputs!$V$13</c:f>
              <c:strCache>
                <c:ptCount val="1"/>
                <c:pt idx="0">
                  <c:v>No Burning Desire</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outputs!$V$27:$V$64</c:f>
              <c:numCache>
                <c:formatCode>General</c:formatCode>
                <c:ptCount val="38"/>
                <c:pt idx="0">
                  <c:v>2</c:v>
                </c:pt>
                <c:pt idx="1">
                  <c:v>3</c:v>
                </c:pt>
                <c:pt idx="2">
                  <c:v>4</c:v>
                </c:pt>
                <c:pt idx="3">
                  <c:v>7</c:v>
                </c:pt>
                <c:pt idx="4">
                  <c:v>10</c:v>
                </c:pt>
                <c:pt idx="5">
                  <c:v>14</c:v>
                </c:pt>
                <c:pt idx="6">
                  <c:v>18</c:v>
                </c:pt>
                <c:pt idx="7">
                  <c:v>23</c:v>
                </c:pt>
                <c:pt idx="8">
                  <c:v>29</c:v>
                </c:pt>
                <c:pt idx="9">
                  <c:v>36</c:v>
                </c:pt>
                <c:pt idx="10">
                  <c:v>44</c:v>
                </c:pt>
                <c:pt idx="11">
                  <c:v>53</c:v>
                </c:pt>
                <c:pt idx="12">
                  <c:v>62</c:v>
                </c:pt>
                <c:pt idx="13">
                  <c:v>73</c:v>
                </c:pt>
                <c:pt idx="14">
                  <c:v>83</c:v>
                </c:pt>
                <c:pt idx="15">
                  <c:v>95</c:v>
                </c:pt>
                <c:pt idx="16">
                  <c:v>107</c:v>
                </c:pt>
                <c:pt idx="17">
                  <c:v>120</c:v>
                </c:pt>
                <c:pt idx="18">
                  <c:v>133</c:v>
                </c:pt>
                <c:pt idx="19">
                  <c:v>146</c:v>
                </c:pt>
                <c:pt idx="20">
                  <c:v>159</c:v>
                </c:pt>
                <c:pt idx="21">
                  <c:v>172</c:v>
                </c:pt>
                <c:pt idx="22">
                  <c:v>185</c:v>
                </c:pt>
                <c:pt idx="23">
                  <c:v>197.99999999999997</c:v>
                </c:pt>
                <c:pt idx="24">
                  <c:v>210.99999999999997</c:v>
                </c:pt>
                <c:pt idx="25">
                  <c:v>223.00000000000003</c:v>
                </c:pt>
                <c:pt idx="26">
                  <c:v>235</c:v>
                </c:pt>
                <c:pt idx="27">
                  <c:v>245</c:v>
                </c:pt>
                <c:pt idx="28">
                  <c:v>256</c:v>
                </c:pt>
                <c:pt idx="29">
                  <c:v>264.99999999999994</c:v>
                </c:pt>
                <c:pt idx="30">
                  <c:v>274</c:v>
                </c:pt>
                <c:pt idx="31">
                  <c:v>282</c:v>
                </c:pt>
                <c:pt idx="32">
                  <c:v>289</c:v>
                </c:pt>
                <c:pt idx="33">
                  <c:v>295</c:v>
                </c:pt>
                <c:pt idx="34">
                  <c:v>300</c:v>
                </c:pt>
                <c:pt idx="35">
                  <c:v>304</c:v>
                </c:pt>
                <c:pt idx="36">
                  <c:v>308</c:v>
                </c:pt>
                <c:pt idx="37">
                  <c:v>311</c:v>
                </c:pt>
              </c:numCache>
            </c:numRef>
          </c:val>
          <c:smooth val="0"/>
          <c:extLst>
            <c:ext xmlns:c16="http://schemas.microsoft.com/office/drawing/2014/chart" uri="{C3380CC4-5D6E-409C-BE32-E72D297353CC}">
              <c16:uniqueId val="{00000002-059E-1840-B0B9-5E8BD4E14431}"/>
            </c:ext>
          </c:extLst>
        </c:ser>
        <c:ser>
          <c:idx val="3"/>
          <c:order val="3"/>
          <c:tx>
            <c:strRef>
              <c:f>outputs!$W$13</c:f>
              <c:strCache>
                <c:ptCount val="1"/>
                <c:pt idx="0">
                  <c:v>Moved by Passion</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outputs!$W$27:$W$64</c:f>
              <c:numCache>
                <c:formatCode>General</c:formatCode>
                <c:ptCount val="38"/>
                <c:pt idx="0">
                  <c:v>4</c:v>
                </c:pt>
                <c:pt idx="1">
                  <c:v>6</c:v>
                </c:pt>
                <c:pt idx="2">
                  <c:v>9</c:v>
                </c:pt>
                <c:pt idx="3">
                  <c:v>13</c:v>
                </c:pt>
                <c:pt idx="4">
                  <c:v>20</c:v>
                </c:pt>
                <c:pt idx="5">
                  <c:v>27</c:v>
                </c:pt>
                <c:pt idx="6">
                  <c:v>36</c:v>
                </c:pt>
                <c:pt idx="7">
                  <c:v>46</c:v>
                </c:pt>
                <c:pt idx="8">
                  <c:v>58</c:v>
                </c:pt>
                <c:pt idx="9">
                  <c:v>72</c:v>
                </c:pt>
                <c:pt idx="10">
                  <c:v>88</c:v>
                </c:pt>
                <c:pt idx="11">
                  <c:v>105</c:v>
                </c:pt>
                <c:pt idx="12">
                  <c:v>124</c:v>
                </c:pt>
                <c:pt idx="13">
                  <c:v>145</c:v>
                </c:pt>
                <c:pt idx="14">
                  <c:v>167</c:v>
                </c:pt>
                <c:pt idx="15">
                  <c:v>190</c:v>
                </c:pt>
                <c:pt idx="16">
                  <c:v>214</c:v>
                </c:pt>
                <c:pt idx="17">
                  <c:v>238.99999999999997</c:v>
                </c:pt>
                <c:pt idx="18">
                  <c:v>266</c:v>
                </c:pt>
                <c:pt idx="19">
                  <c:v>292</c:v>
                </c:pt>
                <c:pt idx="20">
                  <c:v>319</c:v>
                </c:pt>
                <c:pt idx="21">
                  <c:v>346</c:v>
                </c:pt>
                <c:pt idx="22">
                  <c:v>372</c:v>
                </c:pt>
                <c:pt idx="23">
                  <c:v>399</c:v>
                </c:pt>
                <c:pt idx="24">
                  <c:v>424</c:v>
                </c:pt>
                <c:pt idx="25">
                  <c:v>448</c:v>
                </c:pt>
                <c:pt idx="26">
                  <c:v>470.99999999999994</c:v>
                </c:pt>
                <c:pt idx="27">
                  <c:v>493</c:v>
                </c:pt>
                <c:pt idx="28">
                  <c:v>513.99999999999989</c:v>
                </c:pt>
                <c:pt idx="29">
                  <c:v>532.99999999999989</c:v>
                </c:pt>
                <c:pt idx="30">
                  <c:v>550</c:v>
                </c:pt>
                <c:pt idx="31">
                  <c:v>566</c:v>
                </c:pt>
                <c:pt idx="32">
                  <c:v>580</c:v>
                </c:pt>
                <c:pt idx="33">
                  <c:v>592</c:v>
                </c:pt>
                <c:pt idx="34">
                  <c:v>602</c:v>
                </c:pt>
                <c:pt idx="35">
                  <c:v>611</c:v>
                </c:pt>
                <c:pt idx="36">
                  <c:v>618</c:v>
                </c:pt>
                <c:pt idx="37">
                  <c:v>625</c:v>
                </c:pt>
              </c:numCache>
            </c:numRef>
          </c:val>
          <c:smooth val="0"/>
          <c:extLst>
            <c:ext xmlns:c16="http://schemas.microsoft.com/office/drawing/2014/chart" uri="{C3380CC4-5D6E-409C-BE32-E72D297353CC}">
              <c16:uniqueId val="{00000003-059E-1840-B0B9-5E8BD4E14431}"/>
            </c:ext>
          </c:extLst>
        </c:ser>
        <c:ser>
          <c:idx val="4"/>
          <c:order val="4"/>
          <c:tx>
            <c:strRef>
              <c:f>outputs!$AA$13</c:f>
              <c:strCache>
                <c:ptCount val="1"/>
                <c:pt idx="0">
                  <c:v>Business as Usual</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outputs!$AA$27:$AA$64</c:f>
              <c:numCache>
                <c:formatCode>General</c:formatCode>
                <c:ptCount val="38"/>
                <c:pt idx="0">
                  <c:v>3.6418957641105369</c:v>
                </c:pt>
                <c:pt idx="1">
                  <c:v>5.5784814994256262</c:v>
                </c:pt>
                <c:pt idx="2">
                  <c:v>7.4676975117186206</c:v>
                </c:pt>
                <c:pt idx="3">
                  <c:v>9.6160537734854348</c:v>
                </c:pt>
                <c:pt idx="4">
                  <c:v>13.28860053484556</c:v>
                </c:pt>
                <c:pt idx="5">
                  <c:v>16.286825356714679</c:v>
                </c:pt>
                <c:pt idx="6">
                  <c:v>18.789061313999504</c:v>
                </c:pt>
                <c:pt idx="7">
                  <c:v>21.291297271284325</c:v>
                </c:pt>
                <c:pt idx="8">
                  <c:v>23.793533228569142</c:v>
                </c:pt>
                <c:pt idx="9">
                  <c:v>26.295769185853967</c:v>
                </c:pt>
                <c:pt idx="10">
                  <c:v>28.798005143138784</c:v>
                </c:pt>
                <c:pt idx="11">
                  <c:v>31.300241100423612</c:v>
                </c:pt>
                <c:pt idx="12">
                  <c:v>33.80247705770843</c:v>
                </c:pt>
                <c:pt idx="13">
                  <c:v>36.304713014993261</c:v>
                </c:pt>
                <c:pt idx="14">
                  <c:v>38.806948972278079</c:v>
                </c:pt>
                <c:pt idx="15">
                  <c:v>41.309184929562889</c:v>
                </c:pt>
                <c:pt idx="16">
                  <c:v>43.811420886847721</c:v>
                </c:pt>
                <c:pt idx="17">
                  <c:v>46.313656844132538</c:v>
                </c:pt>
                <c:pt idx="18">
                  <c:v>48.815892801417363</c:v>
                </c:pt>
                <c:pt idx="19">
                  <c:v>51.31812875870218</c:v>
                </c:pt>
                <c:pt idx="20">
                  <c:v>53.820364715987012</c:v>
                </c:pt>
                <c:pt idx="21">
                  <c:v>56.322600673271822</c:v>
                </c:pt>
                <c:pt idx="22">
                  <c:v>58.824836630556646</c:v>
                </c:pt>
                <c:pt idx="23">
                  <c:v>61.327072587841464</c:v>
                </c:pt>
                <c:pt idx="24">
                  <c:v>63.829308545126295</c:v>
                </c:pt>
                <c:pt idx="25">
                  <c:v>66.33154450241112</c:v>
                </c:pt>
                <c:pt idx="26">
                  <c:v>68.83378045969593</c:v>
                </c:pt>
                <c:pt idx="27">
                  <c:v>71.336016416980755</c:v>
                </c:pt>
                <c:pt idx="28">
                  <c:v>73.838252374265565</c:v>
                </c:pt>
                <c:pt idx="29">
                  <c:v>76.340488331550404</c:v>
                </c:pt>
                <c:pt idx="30">
                  <c:v>78.842724288835228</c:v>
                </c:pt>
                <c:pt idx="31">
                  <c:v>81.344960246120039</c:v>
                </c:pt>
                <c:pt idx="32">
                  <c:v>83.847196203404863</c:v>
                </c:pt>
                <c:pt idx="33">
                  <c:v>86.349432160689688</c:v>
                </c:pt>
                <c:pt idx="34">
                  <c:v>88.851668117974526</c:v>
                </c:pt>
                <c:pt idx="35">
                  <c:v>91.353904075259322</c:v>
                </c:pt>
                <c:pt idx="36">
                  <c:v>93.856140032544147</c:v>
                </c:pt>
                <c:pt idx="37">
                  <c:v>96.358375989828971</c:v>
                </c:pt>
              </c:numCache>
            </c:numRef>
          </c:val>
          <c:smooth val="0"/>
          <c:extLst>
            <c:ext xmlns:c16="http://schemas.microsoft.com/office/drawing/2014/chart" uri="{C3380CC4-5D6E-409C-BE32-E72D297353CC}">
              <c16:uniqueId val="{00000004-059E-1840-B0B9-5E8BD4E14431}"/>
            </c:ext>
          </c:extLst>
        </c:ser>
        <c:ser>
          <c:idx val="5"/>
          <c:order val="5"/>
          <c:tx>
            <c:strRef>
              <c:f>outputs!$Z$13</c:f>
              <c:strCache>
                <c:ptCount val="1"/>
                <c:pt idx="0">
                  <c:v>Full Adoption</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outputs!$Z$27:$Z$64</c:f>
              <c:numCache>
                <c:formatCode>General</c:formatCode>
                <c:ptCount val="38"/>
                <c:pt idx="0">
                  <c:v>0</c:v>
                </c:pt>
                <c:pt idx="1">
                  <c:v>0</c:v>
                </c:pt>
                <c:pt idx="2">
                  <c:v>0</c:v>
                </c:pt>
                <c:pt idx="3">
                  <c:v>0</c:v>
                </c:pt>
                <c:pt idx="4">
                  <c:v>0</c:v>
                </c:pt>
                <c:pt idx="5">
                  <c:v>0</c:v>
                </c:pt>
                <c:pt idx="6">
                  <c:v>0</c:v>
                </c:pt>
                <c:pt idx="7">
                  <c:v>68.384625461538505</c:v>
                </c:pt>
                <c:pt idx="8">
                  <c:v>136.76925092307692</c:v>
                </c:pt>
                <c:pt idx="9">
                  <c:v>205.15387638461533</c:v>
                </c:pt>
                <c:pt idx="10">
                  <c:v>273.53850184615385</c:v>
                </c:pt>
                <c:pt idx="11">
                  <c:v>341.92312730769243</c:v>
                </c:pt>
                <c:pt idx="12">
                  <c:v>410.30775276923077</c:v>
                </c:pt>
                <c:pt idx="13">
                  <c:v>478.69237823076924</c:v>
                </c:pt>
                <c:pt idx="14">
                  <c:v>547.07700369230781</c:v>
                </c:pt>
                <c:pt idx="15">
                  <c:v>615.46162915384627</c:v>
                </c:pt>
                <c:pt idx="16">
                  <c:v>683.84625461538462</c:v>
                </c:pt>
                <c:pt idx="17">
                  <c:v>752.23088007692297</c:v>
                </c:pt>
                <c:pt idx="18">
                  <c:v>820.61550553846143</c:v>
                </c:pt>
                <c:pt idx="19">
                  <c:v>889.00013100000001</c:v>
                </c:pt>
                <c:pt idx="20">
                  <c:v>957.3847564615387</c:v>
                </c:pt>
                <c:pt idx="21">
                  <c:v>1025.7693819230769</c:v>
                </c:pt>
                <c:pt idx="22">
                  <c:v>1094.1540073846154</c:v>
                </c:pt>
                <c:pt idx="23">
                  <c:v>1162.5386328461543</c:v>
                </c:pt>
                <c:pt idx="24">
                  <c:v>1230.9232583076923</c:v>
                </c:pt>
                <c:pt idx="25">
                  <c:v>1299.307883769231</c:v>
                </c:pt>
                <c:pt idx="26">
                  <c:v>1367.692509230769</c:v>
                </c:pt>
                <c:pt idx="27">
                  <c:v>1436.0771346923077</c:v>
                </c:pt>
                <c:pt idx="28">
                  <c:v>1504.4617601538462</c:v>
                </c:pt>
                <c:pt idx="29">
                  <c:v>1572.8463856153846</c:v>
                </c:pt>
                <c:pt idx="30">
                  <c:v>1641.2310110769231</c:v>
                </c:pt>
                <c:pt idx="31">
                  <c:v>1709.6156365384616</c:v>
                </c:pt>
                <c:pt idx="32">
                  <c:v>1778.000262</c:v>
                </c:pt>
                <c:pt idx="33">
                  <c:v>1846.3848874615385</c:v>
                </c:pt>
                <c:pt idx="34">
                  <c:v>1914.7695129230769</c:v>
                </c:pt>
                <c:pt idx="35">
                  <c:v>1983.1541383846154</c:v>
                </c:pt>
                <c:pt idx="36">
                  <c:v>2051.5387638461539</c:v>
                </c:pt>
                <c:pt idx="37">
                  <c:v>2119.9233893076921</c:v>
                </c:pt>
              </c:numCache>
            </c:numRef>
          </c:val>
          <c:smooth val="0"/>
          <c:extLst>
            <c:ext xmlns:c16="http://schemas.microsoft.com/office/drawing/2014/chart" uri="{C3380CC4-5D6E-409C-BE32-E72D297353CC}">
              <c16:uniqueId val="{00000005-059E-1840-B0B9-5E8BD4E14431}"/>
            </c:ext>
          </c:extLst>
        </c:ser>
        <c:ser>
          <c:idx val="11"/>
          <c:order val="6"/>
          <c:tx>
            <c:strRef>
              <c:f>outputs!$Y$13</c:f>
              <c:strCache>
                <c:ptCount val="1"/>
                <c:pt idx="0">
                  <c:v>Full Adoption - Logistic</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outputs!$Y$27:$Y$64</c:f>
              <c:numCache>
                <c:formatCode>General</c:formatCode>
                <c:ptCount val="38"/>
                <c:pt idx="0">
                  <c:v>42.884262849379255</c:v>
                </c:pt>
                <c:pt idx="1">
                  <c:v>51.62142132335466</c:v>
                </c:pt>
                <c:pt idx="2">
                  <c:v>62.081023897081053</c:v>
                </c:pt>
                <c:pt idx="3">
                  <c:v>74.577138145455706</c:v>
                </c:pt>
                <c:pt idx="4">
                  <c:v>89.469976996143984</c:v>
                </c:pt>
                <c:pt idx="5">
                  <c:v>107.16781430491163</c:v>
                </c:pt>
                <c:pt idx="6">
                  <c:v>128.12660611312074</c:v>
                </c:pt>
                <c:pt idx="7">
                  <c:v>152.84614793213569</c:v>
                </c:pt>
                <c:pt idx="8">
                  <c:v>181.86134633868772</c:v>
                </c:pt>
                <c:pt idx="9">
                  <c:v>215.727012624075</c:v>
                </c:pt>
                <c:pt idx="10">
                  <c:v>254.99460382355792</c:v>
                </c:pt>
                <c:pt idx="11">
                  <c:v>300.17968631849141</c:v>
                </c:pt>
                <c:pt idx="12">
                  <c:v>351.71974206054813</c:v>
                </c:pt>
                <c:pt idx="13">
                  <c:v>409.92340990557318</c:v>
                </c:pt>
                <c:pt idx="14">
                  <c:v>474.91437243541031</c:v>
                </c:pt>
                <c:pt idx="15">
                  <c:v>546.57565574136004</c:v>
                </c:pt>
                <c:pt idx="16">
                  <c:v>624.50258378735805</c:v>
                </c:pt>
                <c:pt idx="17">
                  <c:v>707.97418454395154</c:v>
                </c:pt>
                <c:pt idx="18">
                  <c:v>795.95251367309186</c:v>
                </c:pt>
                <c:pt idx="19">
                  <c:v>887.11642650833949</c:v>
                </c:pt>
                <c:pt idx="20">
                  <c:v>979.93080416934379</c:v>
                </c:pt>
                <c:pt idx="21">
                  <c:v>1072.7451818303482</c:v>
                </c:pt>
                <c:pt idx="22">
                  <c:v>1163.9090946655958</c:v>
                </c:pt>
                <c:pt idx="23">
                  <c:v>1251.8874237947362</c:v>
                </c:pt>
                <c:pt idx="24">
                  <c:v>1335.3590245513299</c:v>
                </c:pt>
                <c:pt idx="25">
                  <c:v>1413.2859525973277</c:v>
                </c:pt>
                <c:pt idx="26">
                  <c:v>1484.9472359032775</c:v>
                </c:pt>
                <c:pt idx="27">
                  <c:v>1549.9381984331146</c:v>
                </c:pt>
                <c:pt idx="28">
                  <c:v>1608.1418662781396</c:v>
                </c:pt>
                <c:pt idx="29">
                  <c:v>1659.6819220201962</c:v>
                </c:pt>
                <c:pt idx="30">
                  <c:v>1704.8670045151296</c:v>
                </c:pt>
                <c:pt idx="31">
                  <c:v>1744.1345957146125</c:v>
                </c:pt>
                <c:pt idx="32">
                  <c:v>1778.000262</c:v>
                </c:pt>
                <c:pt idx="33">
                  <c:v>1807.0154604065522</c:v>
                </c:pt>
                <c:pt idx="34">
                  <c:v>1831.7350022255666</c:v>
                </c:pt>
                <c:pt idx="35">
                  <c:v>1852.6937940337762</c:v>
                </c:pt>
                <c:pt idx="36">
                  <c:v>1870.3916313425436</c:v>
                </c:pt>
                <c:pt idx="37">
                  <c:v>1885.284470193232</c:v>
                </c:pt>
              </c:numCache>
            </c:numRef>
          </c:val>
          <c:smooth val="0"/>
          <c:extLst>
            <c:ext xmlns:c16="http://schemas.microsoft.com/office/drawing/2014/chart" uri="{C3380CC4-5D6E-409C-BE32-E72D297353CC}">
              <c16:uniqueId val="{00000006-059E-1840-B0B9-5E8BD4E14431}"/>
            </c:ext>
          </c:extLst>
        </c:ser>
        <c:ser>
          <c:idx val="6"/>
          <c:order val="7"/>
          <c:tx>
            <c:strRef>
              <c:f>'HECO 2013'!$B$6</c:f>
              <c:strCache>
                <c:ptCount val="1"/>
                <c:pt idx="0">
                  <c:v>Blazing a Bold Frontier</c:v>
                </c:pt>
              </c:strCache>
            </c:strRef>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'HECO 2013'!$B$8:$B$28</c:f>
              <c:numCache>
                <c:formatCode>General</c:formatCode>
                <c:ptCount val="21"/>
                <c:pt idx="0">
                  <c:v>7</c:v>
                </c:pt>
                <c:pt idx="1">
                  <c:v>12</c:v>
                </c:pt>
                <c:pt idx="2">
                  <c:v>17</c:v>
                </c:pt>
                <c:pt idx="3">
                  <c:v>27</c:v>
                </c:pt>
                <c:pt idx="4">
                  <c:v>39</c:v>
                </c:pt>
                <c:pt idx="5">
                  <c:v>54</c:v>
                </c:pt>
                <c:pt idx="6">
                  <c:v>71</c:v>
                </c:pt>
                <c:pt idx="7">
                  <c:v>92</c:v>
                </c:pt>
                <c:pt idx="8">
                  <c:v>117</c:v>
                </c:pt>
                <c:pt idx="9">
                  <c:v>145</c:v>
                </c:pt>
                <c:pt idx="10">
                  <c:v>176</c:v>
                </c:pt>
                <c:pt idx="11">
                  <c:v>211</c:v>
                </c:pt>
                <c:pt idx="12">
                  <c:v>248</c:v>
                </c:pt>
                <c:pt idx="13">
                  <c:v>290</c:v>
                </c:pt>
                <c:pt idx="14">
                  <c:v>333</c:v>
                </c:pt>
                <c:pt idx="15">
                  <c:v>379</c:v>
                </c:pt>
                <c:pt idx="16">
                  <c:v>428</c:v>
                </c:pt>
                <c:pt idx="17">
                  <c:v>479</c:v>
                </c:pt>
                <c:pt idx="18">
                  <c:v>532</c:v>
                </c:pt>
                <c:pt idx="19">
                  <c:v>584</c:v>
                </c:pt>
                <c:pt idx="20">
                  <c:v>637</c:v>
                </c:pt>
              </c:numCache>
            </c:numRef>
          </c:val>
          <c:smooth val="0"/>
          <c:extLst>
            <c:ext xmlns:c16="http://schemas.microsoft.com/office/drawing/2014/chart" uri="{C3380CC4-5D6E-409C-BE32-E72D297353CC}">
              <c16:uniqueId val="{00000007-059E-1840-B0B9-5E8BD4E14431}"/>
            </c:ext>
          </c:extLst>
        </c:ser>
        <c:ser>
          <c:idx val="7"/>
          <c:order val="8"/>
          <c:tx>
            <c:strRef>
              <c:f>'HECO 2013'!$C$6</c:f>
              <c:strCache>
                <c:ptCount val="1"/>
                <c:pt idx="0">
                  <c:v>Stuck in the Middle</c:v>
                </c:pt>
              </c:strCache>
            </c:strRef>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'HECO 2013'!$C$8:$C$28</c:f>
              <c:numCache>
                <c:formatCode>General</c:formatCode>
                <c:ptCount val="21"/>
                <c:pt idx="0">
                  <c:v>4</c:v>
                </c:pt>
                <c:pt idx="1">
                  <c:v>6</c:v>
                </c:pt>
                <c:pt idx="2">
                  <c:v>9</c:v>
                </c:pt>
                <c:pt idx="3">
                  <c:v>13</c:v>
                </c:pt>
                <c:pt idx="4">
                  <c:v>20</c:v>
                </c:pt>
                <c:pt idx="5">
                  <c:v>27</c:v>
                </c:pt>
                <c:pt idx="6">
                  <c:v>36</c:v>
                </c:pt>
                <c:pt idx="7">
                  <c:v>46</c:v>
                </c:pt>
                <c:pt idx="8">
                  <c:v>58</c:v>
                </c:pt>
                <c:pt idx="9">
                  <c:v>72</c:v>
                </c:pt>
                <c:pt idx="10">
                  <c:v>88</c:v>
                </c:pt>
                <c:pt idx="11">
                  <c:v>105</c:v>
                </c:pt>
                <c:pt idx="12">
                  <c:v>124</c:v>
                </c:pt>
                <c:pt idx="13">
                  <c:v>145</c:v>
                </c:pt>
                <c:pt idx="14">
                  <c:v>167</c:v>
                </c:pt>
                <c:pt idx="15">
                  <c:v>190</c:v>
                </c:pt>
                <c:pt idx="16">
                  <c:v>214</c:v>
                </c:pt>
                <c:pt idx="17">
                  <c:v>239</c:v>
                </c:pt>
                <c:pt idx="18">
                  <c:v>266</c:v>
                </c:pt>
                <c:pt idx="19">
                  <c:v>292</c:v>
                </c:pt>
                <c:pt idx="20">
                  <c:v>319</c:v>
                </c:pt>
              </c:numCache>
            </c:numRef>
          </c:val>
          <c:smooth val="0"/>
          <c:extLst>
            <c:ext xmlns:c16="http://schemas.microsoft.com/office/drawing/2014/chart" uri="{C3380CC4-5D6E-409C-BE32-E72D297353CC}">
              <c16:uniqueId val="{00000008-059E-1840-B0B9-5E8BD4E14431}"/>
            </c:ext>
          </c:extLst>
        </c:ser>
        <c:ser>
          <c:idx val="8"/>
          <c:order val="9"/>
          <c:tx>
            <c:strRef>
              <c:f>'HECO 2013'!$D$6</c:f>
              <c:strCache>
                <c:ptCount val="1"/>
                <c:pt idx="0">
                  <c:v>No Burning Desire</c:v>
                </c:pt>
              </c:strCache>
            </c:strRef>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'HECO 2013'!$D$8:$D$28</c:f>
              <c:numCache>
                <c:formatCode>General</c:formatCode>
                <c:ptCount val="21"/>
                <c:pt idx="0">
                  <c:v>2</c:v>
                </c:pt>
                <c:pt idx="1">
                  <c:v>3</c:v>
                </c:pt>
                <c:pt idx="2">
                  <c:v>4</c:v>
                </c:pt>
                <c:pt idx="3">
                  <c:v>7</c:v>
                </c:pt>
                <c:pt idx="4">
                  <c:v>10</c:v>
                </c:pt>
                <c:pt idx="5">
                  <c:v>14</c:v>
                </c:pt>
                <c:pt idx="6">
                  <c:v>18</c:v>
                </c:pt>
                <c:pt idx="7">
                  <c:v>23</c:v>
                </c:pt>
                <c:pt idx="8">
                  <c:v>29</c:v>
                </c:pt>
                <c:pt idx="9">
                  <c:v>36</c:v>
                </c:pt>
                <c:pt idx="10">
                  <c:v>44</c:v>
                </c:pt>
                <c:pt idx="11">
                  <c:v>53</c:v>
                </c:pt>
                <c:pt idx="12">
                  <c:v>62</c:v>
                </c:pt>
                <c:pt idx="13">
                  <c:v>73</c:v>
                </c:pt>
                <c:pt idx="14">
                  <c:v>83</c:v>
                </c:pt>
                <c:pt idx="15">
                  <c:v>95</c:v>
                </c:pt>
                <c:pt idx="16">
                  <c:v>107</c:v>
                </c:pt>
                <c:pt idx="17">
                  <c:v>120</c:v>
                </c:pt>
                <c:pt idx="18">
                  <c:v>133</c:v>
                </c:pt>
                <c:pt idx="19">
                  <c:v>146</c:v>
                </c:pt>
                <c:pt idx="20">
                  <c:v>159</c:v>
                </c:pt>
              </c:numCache>
            </c:numRef>
          </c:val>
          <c:smooth val="0"/>
          <c:extLst>
            <c:ext xmlns:c16="http://schemas.microsoft.com/office/drawing/2014/chart" uri="{C3380CC4-5D6E-409C-BE32-E72D297353CC}">
              <c16:uniqueId val="{00000009-059E-1840-B0B9-5E8BD4E14431}"/>
            </c:ext>
          </c:extLst>
        </c:ser>
        <c:ser>
          <c:idx val="9"/>
          <c:order val="10"/>
          <c:tx>
            <c:strRef>
              <c:f>'HECO 2013'!$E$6</c:f>
              <c:strCache>
                <c:ptCount val="1"/>
                <c:pt idx="0">
                  <c:v>Moved by Passion</c:v>
                </c:pt>
              </c:strCache>
            </c:strRef>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'HECO 2013'!$E$8:$E$28</c:f>
              <c:numCache>
                <c:formatCode>General</c:formatCode>
                <c:ptCount val="21"/>
                <c:pt idx="0">
                  <c:v>4</c:v>
                </c:pt>
                <c:pt idx="1">
                  <c:v>6</c:v>
                </c:pt>
                <c:pt idx="2">
                  <c:v>9</c:v>
                </c:pt>
                <c:pt idx="3">
                  <c:v>13</c:v>
                </c:pt>
                <c:pt idx="4">
                  <c:v>20</c:v>
                </c:pt>
                <c:pt idx="5">
                  <c:v>27</c:v>
                </c:pt>
                <c:pt idx="6">
                  <c:v>36</c:v>
                </c:pt>
                <c:pt idx="7">
                  <c:v>46</c:v>
                </c:pt>
                <c:pt idx="8">
                  <c:v>58</c:v>
                </c:pt>
                <c:pt idx="9">
                  <c:v>72</c:v>
                </c:pt>
                <c:pt idx="10">
                  <c:v>88</c:v>
                </c:pt>
                <c:pt idx="11">
                  <c:v>105</c:v>
                </c:pt>
                <c:pt idx="12">
                  <c:v>124</c:v>
                </c:pt>
                <c:pt idx="13">
                  <c:v>145</c:v>
                </c:pt>
                <c:pt idx="14">
                  <c:v>167</c:v>
                </c:pt>
                <c:pt idx="15">
                  <c:v>190</c:v>
                </c:pt>
                <c:pt idx="16">
                  <c:v>214</c:v>
                </c:pt>
                <c:pt idx="17">
                  <c:v>239</c:v>
                </c:pt>
                <c:pt idx="18">
                  <c:v>266</c:v>
                </c:pt>
                <c:pt idx="19">
                  <c:v>292</c:v>
                </c:pt>
                <c:pt idx="20">
                  <c:v>319</c:v>
                </c:pt>
              </c:numCache>
            </c:numRef>
          </c:val>
          <c:smooth val="0"/>
          <c:extLst>
            <c:ext xmlns:c16="http://schemas.microsoft.com/office/drawing/2014/chart" uri="{C3380CC4-5D6E-409C-BE32-E72D297353CC}">
              <c16:uniqueId val="{0000000A-059E-1840-B0B9-5E8BD4E14431}"/>
            </c:ext>
          </c:extLst>
        </c:ser>
        <c:ser>
          <c:idx val="10"/>
          <c:order val="11"/>
          <c:tx>
            <c:v>BAU energy</c:v>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'BAU adoption'!$D$26:$D$46</c:f>
              <c:numCache>
                <c:formatCode>General</c:formatCode>
                <c:ptCount val="21"/>
                <c:pt idx="0">
                  <c:v>2.8446855000000002</c:v>
                </c:pt>
                <c:pt idx="1">
                  <c:v>4.3573529999999998</c:v>
                </c:pt>
                <c:pt idx="2">
                  <c:v>5.8330200000000003</c:v>
                </c:pt>
                <c:pt idx="3">
                  <c:v>7.5111015000000005</c:v>
                </c:pt>
                <c:pt idx="4">
                  <c:v>10.379728500000001</c:v>
                </c:pt>
                <c:pt idx="5">
                  <c:v>12.7216425</c:v>
                </c:pt>
                <c:pt idx="6">
                  <c:v>14.6761395</c:v>
                </c:pt>
                <c:pt idx="7">
                  <c:v>16.630636500000001</c:v>
                </c:pt>
                <c:pt idx="8">
                  <c:v>18.585133500000001</c:v>
                </c:pt>
                <c:pt idx="9">
                  <c:v>20.539630500000001</c:v>
                </c:pt>
                <c:pt idx="10">
                  <c:v>22.494127500000001</c:v>
                </c:pt>
                <c:pt idx="11">
                  <c:v>24.448624500000001</c:v>
                </c:pt>
                <c:pt idx="12">
                  <c:v>26.403121500000001</c:v>
                </c:pt>
                <c:pt idx="13">
                  <c:v>28.357618500000001</c:v>
                </c:pt>
                <c:pt idx="14">
                  <c:v>30.312115500000001</c:v>
                </c:pt>
                <c:pt idx="15">
                  <c:v>32.266612500000001</c:v>
                </c:pt>
                <c:pt idx="16">
                  <c:v>34.221109500000004</c:v>
                </c:pt>
                <c:pt idx="17">
                  <c:v>36.175606500000001</c:v>
                </c:pt>
                <c:pt idx="18">
                  <c:v>38.130103500000004</c:v>
                </c:pt>
                <c:pt idx="19">
                  <c:v>40.084600500000001</c:v>
                </c:pt>
                <c:pt idx="20">
                  <c:v>42.039097500000004</c:v>
                </c:pt>
              </c:numCache>
            </c:numRef>
          </c:val>
          <c:smooth val="0"/>
          <c:extLst>
            <c:ext xmlns:c16="http://schemas.microsoft.com/office/drawing/2014/chart" uri="{C3380CC4-5D6E-409C-BE32-E72D297353CC}">
              <c16:uniqueId val="{0000000B-059E-1840-B0B9-5E8BD4E14431}"/>
            </c:ext>
          </c:extLst>
        </c:ser>
        <c:dLbls>
          <c:showLegendKey val="0"/>
          <c:showVal val="0"/>
          <c:showCatName val="0"/>
          <c:showSerName val="0"/>
          <c:showPercent val="0"/>
          <c:showBubbleSize val="0"/>
        </c:dLbls>
        <c:smooth val="0"/>
        <c:axId val="-2108355320"/>
        <c:axId val="-2108358552"/>
      </c:lineChart>
      <c:catAx>
        <c:axId val="-210835532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108358552"/>
        <c:crosses val="autoZero"/>
        <c:auto val="1"/>
        <c:lblAlgn val="ctr"/>
        <c:lblOffset val="100"/>
        <c:tickLblSkip val="8"/>
        <c:noMultiLvlLbl val="0"/>
      </c:catAx>
      <c:valAx>
        <c:axId val="-2108358552"/>
        <c:scaling>
          <c:orientation val="minMax"/>
        </c:scaling>
        <c:delete val="0"/>
        <c:axPos val="l"/>
        <c:numFmt formatCode="General" sourceLinked="1"/>
        <c:majorTickMark val="out"/>
        <c:minorTickMark val="none"/>
        <c:tickLblPos val="nextTo"/>
        <c:crossAx val="-2108355320"/>
        <c:crossesAt val="1"/>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9333369723931801"/>
          <c:y val="0.08"/>
          <c:w val="0.74380081605917103"/>
          <c:h val="0.71331662415437502"/>
        </c:manualLayout>
      </c:layout>
      <c:lineChart>
        <c:grouping val="standard"/>
        <c:varyColors val="0"/>
        <c:ser>
          <c:idx val="0"/>
          <c:order val="0"/>
          <c:tx>
            <c:v>100% adoption</c:v>
          </c:tx>
          <c:spPr>
            <a:effectLst/>
          </c:spPr>
          <c:marker>
            <c:symbol val="circle"/>
            <c:size val="5"/>
            <c:spPr>
              <a:effectLst/>
            </c:spPr>
          </c:marker>
          <c:cat>
            <c:numRef>
              <c:f>outputs!$AB$2:$AB$5</c:f>
              <c:numCache>
                <c:formatCode>General</c:formatCode>
                <c:ptCount val="4"/>
                <c:pt idx="0">
                  <c:v>2021</c:v>
                </c:pt>
                <c:pt idx="1">
                  <c:v>2029</c:v>
                </c:pt>
                <c:pt idx="2">
                  <c:v>2037</c:v>
                </c:pt>
                <c:pt idx="3">
                  <c:v>2045</c:v>
                </c:pt>
              </c:numCache>
            </c:numRef>
          </c:cat>
          <c:val>
            <c:numRef>
              <c:f>outputs!$AC$2:$AC$5</c:f>
              <c:numCache>
                <c:formatCode>General</c:formatCode>
                <c:ptCount val="4"/>
                <c:pt idx="0">
                  <c:v>7.6923076923076927E-2</c:v>
                </c:pt>
                <c:pt idx="1">
                  <c:v>0.38461538461538464</c:v>
                </c:pt>
                <c:pt idx="2">
                  <c:v>0.69230769230769229</c:v>
                </c:pt>
                <c:pt idx="3">
                  <c:v>1</c:v>
                </c:pt>
              </c:numCache>
            </c:numRef>
          </c:val>
          <c:smooth val="0"/>
          <c:extLst>
            <c:ext xmlns:c16="http://schemas.microsoft.com/office/drawing/2014/chart" uri="{C3380CC4-5D6E-409C-BE32-E72D297353CC}">
              <c16:uniqueId val="{00000000-6130-6343-9918-CB2CEA0585E9}"/>
            </c:ext>
          </c:extLst>
        </c:ser>
        <c:ser>
          <c:idx val="1"/>
          <c:order val="1"/>
          <c:tx>
            <c:v>3.5% adoption</c:v>
          </c:tx>
          <c:spPr>
            <a:effectLst/>
          </c:spPr>
          <c:marker>
            <c:symbol val="circle"/>
            <c:size val="5"/>
            <c:spPr>
              <a:effectLst/>
            </c:spPr>
          </c:marker>
          <c:cat>
            <c:numRef>
              <c:f>outputs!$AB$2:$AB$5</c:f>
              <c:numCache>
                <c:formatCode>General</c:formatCode>
                <c:ptCount val="4"/>
                <c:pt idx="0">
                  <c:v>2021</c:v>
                </c:pt>
                <c:pt idx="1">
                  <c:v>2029</c:v>
                </c:pt>
                <c:pt idx="2">
                  <c:v>2037</c:v>
                </c:pt>
                <c:pt idx="3">
                  <c:v>2045</c:v>
                </c:pt>
              </c:numCache>
            </c:numRef>
          </c:cat>
          <c:val>
            <c:numRef>
              <c:f>outputs!$AD$2:$AD$5</c:f>
              <c:numCache>
                <c:formatCode>General</c:formatCode>
                <c:ptCount val="4"/>
                <c:pt idx="0">
                  <c:v>1.3382187695408306E-2</c:v>
                </c:pt>
                <c:pt idx="1">
                  <c:v>2.4640840512343928E-2</c:v>
                </c:pt>
                <c:pt idx="2">
                  <c:v>3.5899493329279553E-2</c:v>
                </c:pt>
                <c:pt idx="3">
                  <c:v>4.715814614621517E-2</c:v>
                </c:pt>
              </c:numCache>
            </c:numRef>
          </c:val>
          <c:smooth val="0"/>
          <c:extLst>
            <c:ext xmlns:c16="http://schemas.microsoft.com/office/drawing/2014/chart" uri="{C3380CC4-5D6E-409C-BE32-E72D297353CC}">
              <c16:uniqueId val="{00000001-6130-6343-9918-CB2CEA0585E9}"/>
            </c:ext>
          </c:extLst>
        </c:ser>
        <c:dLbls>
          <c:showLegendKey val="0"/>
          <c:showVal val="0"/>
          <c:showCatName val="0"/>
          <c:showSerName val="0"/>
          <c:showPercent val="0"/>
          <c:showBubbleSize val="0"/>
        </c:dLbls>
        <c:marker val="1"/>
        <c:smooth val="0"/>
        <c:axId val="-2108364888"/>
        <c:axId val="-2108373288"/>
      </c:lineChart>
      <c:catAx>
        <c:axId val="-210836488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spPr>
          <a:ln w="12700">
            <a:solidFill>
              <a:schemeClr val="tx1"/>
            </a:solidFill>
          </a:ln>
        </c:spPr>
        <c:crossAx val="-2108373288"/>
        <c:crosses val="autoZero"/>
        <c:auto val="1"/>
        <c:lblAlgn val="ctr"/>
        <c:lblOffset val="100"/>
        <c:noMultiLvlLbl val="0"/>
      </c:catAx>
      <c:valAx>
        <c:axId val="-2108373288"/>
        <c:scaling>
          <c:orientation val="minMax"/>
          <c:max val="1.02"/>
          <c:min val="0"/>
        </c:scaling>
        <c:delete val="0"/>
        <c:axPos val="l"/>
        <c:title>
          <c:tx>
            <c:rich>
              <a:bodyPr rot="-5400000" vert="horz"/>
              <a:lstStyle/>
              <a:p>
                <a:pPr>
                  <a:defRPr/>
                </a:pPr>
                <a:r>
                  <a:rPr lang="en-US"/>
                  <a:t>EV share of vehicle fleet</a:t>
                </a:r>
              </a:p>
            </c:rich>
          </c:tx>
          <c:layout>
            <c:manualLayout>
              <c:xMode val="edge"/>
              <c:yMode val="edge"/>
              <c:x val="5.1119693227254703E-4"/>
              <c:y val="0.10899279139403301"/>
            </c:manualLayout>
          </c:layout>
          <c:overlay val="0"/>
        </c:title>
        <c:numFmt formatCode="0%" sourceLinked="0"/>
        <c:majorTickMark val="out"/>
        <c:minorTickMark val="none"/>
        <c:tickLblPos val="nextTo"/>
        <c:spPr>
          <a:ln w="12700">
            <a:solidFill>
              <a:schemeClr val="tx1"/>
            </a:solidFill>
          </a:ln>
        </c:spPr>
        <c:crossAx val="-2108364888"/>
        <c:crosses val="autoZero"/>
        <c:crossBetween val="midCat"/>
        <c:majorUnit val="0.25"/>
      </c:valAx>
      <c:spPr>
        <a:noFill/>
      </c:spPr>
    </c:plotArea>
    <c:legend>
      <c:legendPos val="r"/>
      <c:layout>
        <c:manualLayout>
          <c:xMode val="edge"/>
          <c:yMode val="edge"/>
          <c:x val="0.62813111532635502"/>
          <c:y val="0.45025899454875801"/>
          <c:w val="0.32334202158872299"/>
          <c:h val="0.247174318594791"/>
        </c:manualLayout>
      </c:layout>
      <c:overlay val="0"/>
    </c:legend>
    <c:plotVisOnly val="1"/>
    <c:dispBlanksAs val="gap"/>
    <c:showDLblsOverMax val="0"/>
  </c:chart>
  <c:spPr>
    <a:noFill/>
    <a:ln>
      <a:noFill/>
    </a:ln>
  </c:spPr>
  <c:txPr>
    <a:bodyPr/>
    <a:lstStyle/>
    <a:p>
      <a:pPr>
        <a:defRPr sz="1100"/>
      </a:pPr>
      <a:endParaRPr lang="en-US"/>
    </a:p>
  </c:txPr>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1"/>
          <c:order val="0"/>
          <c:tx>
            <c:strRef>
              <c:f>'HECO 2013'!$B$6</c:f>
              <c:strCache>
                <c:ptCount val="1"/>
                <c:pt idx="0">
                  <c:v>Blazing a Bold Frontier</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2013'!$B$7:$B$45</c:f>
              <c:numCache>
                <c:formatCode>General</c:formatCode>
                <c:ptCount val="39"/>
                <c:pt idx="0">
                  <c:v>4</c:v>
                </c:pt>
                <c:pt idx="1">
                  <c:v>7</c:v>
                </c:pt>
                <c:pt idx="2">
                  <c:v>12</c:v>
                </c:pt>
                <c:pt idx="3">
                  <c:v>17</c:v>
                </c:pt>
                <c:pt idx="4">
                  <c:v>27</c:v>
                </c:pt>
                <c:pt idx="5">
                  <c:v>39</c:v>
                </c:pt>
                <c:pt idx="6">
                  <c:v>54</c:v>
                </c:pt>
                <c:pt idx="7">
                  <c:v>71</c:v>
                </c:pt>
                <c:pt idx="8">
                  <c:v>92</c:v>
                </c:pt>
                <c:pt idx="9">
                  <c:v>117</c:v>
                </c:pt>
                <c:pt idx="10">
                  <c:v>145</c:v>
                </c:pt>
                <c:pt idx="11">
                  <c:v>176</c:v>
                </c:pt>
                <c:pt idx="12">
                  <c:v>211</c:v>
                </c:pt>
                <c:pt idx="13">
                  <c:v>248</c:v>
                </c:pt>
                <c:pt idx="14">
                  <c:v>290</c:v>
                </c:pt>
                <c:pt idx="15">
                  <c:v>333</c:v>
                </c:pt>
                <c:pt idx="16">
                  <c:v>379</c:v>
                </c:pt>
                <c:pt idx="17">
                  <c:v>428</c:v>
                </c:pt>
                <c:pt idx="18">
                  <c:v>479</c:v>
                </c:pt>
                <c:pt idx="19">
                  <c:v>532</c:v>
                </c:pt>
                <c:pt idx="20">
                  <c:v>584</c:v>
                </c:pt>
                <c:pt idx="21">
                  <c:v>637</c:v>
                </c:pt>
                <c:pt idx="22">
                  <c:v>690</c:v>
                </c:pt>
                <c:pt idx="23">
                  <c:v>742</c:v>
                </c:pt>
                <c:pt idx="24">
                  <c:v>795</c:v>
                </c:pt>
                <c:pt idx="25">
                  <c:v>846</c:v>
                </c:pt>
                <c:pt idx="26">
                  <c:v>895</c:v>
                </c:pt>
                <c:pt idx="27">
                  <c:v>941</c:v>
                </c:pt>
                <c:pt idx="28">
                  <c:v>984</c:v>
                </c:pt>
                <c:pt idx="29">
                  <c:v>1026</c:v>
                </c:pt>
                <c:pt idx="30">
                  <c:v>1063</c:v>
                </c:pt>
                <c:pt idx="31">
                  <c:v>1098</c:v>
                </c:pt>
                <c:pt idx="32">
                  <c:v>1129</c:v>
                </c:pt>
                <c:pt idx="33">
                  <c:v>1157</c:v>
                </c:pt>
                <c:pt idx="34">
                  <c:v>1182</c:v>
                </c:pt>
                <c:pt idx="35">
                  <c:v>1203</c:v>
                </c:pt>
                <c:pt idx="36">
                  <c:v>1220</c:v>
                </c:pt>
                <c:pt idx="37">
                  <c:v>1235</c:v>
                </c:pt>
                <c:pt idx="38">
                  <c:v>1247</c:v>
                </c:pt>
              </c:numCache>
            </c:numRef>
          </c:val>
          <c:smooth val="0"/>
          <c:extLst>
            <c:ext xmlns:c16="http://schemas.microsoft.com/office/drawing/2014/chart" uri="{C3380CC4-5D6E-409C-BE32-E72D297353CC}">
              <c16:uniqueId val="{00000000-A3A3-B647-9737-5AC31D38A19B}"/>
            </c:ext>
          </c:extLst>
        </c:ser>
        <c:ser>
          <c:idx val="2"/>
          <c:order val="1"/>
          <c:tx>
            <c:strRef>
              <c:f>'HECO 2013'!$C$6</c:f>
              <c:strCache>
                <c:ptCount val="1"/>
                <c:pt idx="0">
                  <c:v>Stuck in the Middle</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2013'!$C$7:$C$28</c:f>
              <c:numCache>
                <c:formatCode>General</c:formatCode>
                <c:ptCount val="22"/>
                <c:pt idx="0">
                  <c:v>2</c:v>
                </c:pt>
                <c:pt idx="1">
                  <c:v>4</c:v>
                </c:pt>
                <c:pt idx="2">
                  <c:v>6</c:v>
                </c:pt>
                <c:pt idx="3">
                  <c:v>9</c:v>
                </c:pt>
                <c:pt idx="4">
                  <c:v>13</c:v>
                </c:pt>
                <c:pt idx="5">
                  <c:v>20</c:v>
                </c:pt>
                <c:pt idx="6">
                  <c:v>27</c:v>
                </c:pt>
                <c:pt idx="7">
                  <c:v>36</c:v>
                </c:pt>
                <c:pt idx="8">
                  <c:v>46</c:v>
                </c:pt>
                <c:pt idx="9">
                  <c:v>58</c:v>
                </c:pt>
                <c:pt idx="10">
                  <c:v>72</c:v>
                </c:pt>
                <c:pt idx="11">
                  <c:v>88</c:v>
                </c:pt>
                <c:pt idx="12">
                  <c:v>105</c:v>
                </c:pt>
                <c:pt idx="13">
                  <c:v>124</c:v>
                </c:pt>
                <c:pt idx="14">
                  <c:v>145</c:v>
                </c:pt>
                <c:pt idx="15">
                  <c:v>167</c:v>
                </c:pt>
                <c:pt idx="16">
                  <c:v>190</c:v>
                </c:pt>
                <c:pt idx="17">
                  <c:v>214</c:v>
                </c:pt>
                <c:pt idx="18">
                  <c:v>239</c:v>
                </c:pt>
                <c:pt idx="19">
                  <c:v>266</c:v>
                </c:pt>
                <c:pt idx="20">
                  <c:v>292</c:v>
                </c:pt>
                <c:pt idx="21">
                  <c:v>319</c:v>
                </c:pt>
              </c:numCache>
            </c:numRef>
          </c:val>
          <c:smooth val="0"/>
          <c:extLst>
            <c:ext xmlns:c16="http://schemas.microsoft.com/office/drawing/2014/chart" uri="{C3380CC4-5D6E-409C-BE32-E72D297353CC}">
              <c16:uniqueId val="{00000001-A3A3-B647-9737-5AC31D38A19B}"/>
            </c:ext>
          </c:extLst>
        </c:ser>
        <c:ser>
          <c:idx val="3"/>
          <c:order val="2"/>
          <c:tx>
            <c:strRef>
              <c:f>'HECO 2013'!$D$6</c:f>
              <c:strCache>
                <c:ptCount val="1"/>
                <c:pt idx="0">
                  <c:v>No Burning Desire</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2013'!$D$7:$D$45</c:f>
              <c:numCache>
                <c:formatCode>General</c:formatCode>
                <c:ptCount val="39"/>
                <c:pt idx="0">
                  <c:v>1</c:v>
                </c:pt>
                <c:pt idx="1">
                  <c:v>2</c:v>
                </c:pt>
                <c:pt idx="2">
                  <c:v>3</c:v>
                </c:pt>
                <c:pt idx="3">
                  <c:v>4</c:v>
                </c:pt>
                <c:pt idx="4">
                  <c:v>7</c:v>
                </c:pt>
                <c:pt idx="5">
                  <c:v>10</c:v>
                </c:pt>
                <c:pt idx="6">
                  <c:v>14</c:v>
                </c:pt>
                <c:pt idx="7">
                  <c:v>18</c:v>
                </c:pt>
                <c:pt idx="8">
                  <c:v>23</c:v>
                </c:pt>
                <c:pt idx="9">
                  <c:v>29</c:v>
                </c:pt>
                <c:pt idx="10">
                  <c:v>36</c:v>
                </c:pt>
                <c:pt idx="11">
                  <c:v>44</c:v>
                </c:pt>
                <c:pt idx="12">
                  <c:v>53</c:v>
                </c:pt>
                <c:pt idx="13">
                  <c:v>62</c:v>
                </c:pt>
                <c:pt idx="14">
                  <c:v>73</c:v>
                </c:pt>
                <c:pt idx="15">
                  <c:v>83</c:v>
                </c:pt>
                <c:pt idx="16">
                  <c:v>95</c:v>
                </c:pt>
                <c:pt idx="17">
                  <c:v>107</c:v>
                </c:pt>
                <c:pt idx="18">
                  <c:v>120</c:v>
                </c:pt>
                <c:pt idx="19">
                  <c:v>133</c:v>
                </c:pt>
                <c:pt idx="20">
                  <c:v>146</c:v>
                </c:pt>
                <c:pt idx="21">
                  <c:v>159</c:v>
                </c:pt>
                <c:pt idx="22">
                  <c:v>172</c:v>
                </c:pt>
                <c:pt idx="23">
                  <c:v>185</c:v>
                </c:pt>
                <c:pt idx="24">
                  <c:v>198</c:v>
                </c:pt>
                <c:pt idx="25">
                  <c:v>211</c:v>
                </c:pt>
                <c:pt idx="26">
                  <c:v>223</c:v>
                </c:pt>
                <c:pt idx="27">
                  <c:v>235</c:v>
                </c:pt>
                <c:pt idx="28">
                  <c:v>245</c:v>
                </c:pt>
                <c:pt idx="29">
                  <c:v>256</c:v>
                </c:pt>
                <c:pt idx="30">
                  <c:v>265</c:v>
                </c:pt>
                <c:pt idx="31">
                  <c:v>274</c:v>
                </c:pt>
                <c:pt idx="32">
                  <c:v>282</c:v>
                </c:pt>
                <c:pt idx="33">
                  <c:v>289</c:v>
                </c:pt>
                <c:pt idx="34">
                  <c:v>295</c:v>
                </c:pt>
                <c:pt idx="35">
                  <c:v>300</c:v>
                </c:pt>
                <c:pt idx="36">
                  <c:v>304</c:v>
                </c:pt>
                <c:pt idx="37">
                  <c:v>308</c:v>
                </c:pt>
                <c:pt idx="38">
                  <c:v>311</c:v>
                </c:pt>
              </c:numCache>
            </c:numRef>
          </c:val>
          <c:smooth val="0"/>
          <c:extLst>
            <c:ext xmlns:c16="http://schemas.microsoft.com/office/drawing/2014/chart" uri="{C3380CC4-5D6E-409C-BE32-E72D297353CC}">
              <c16:uniqueId val="{00000002-A3A3-B647-9737-5AC31D38A19B}"/>
            </c:ext>
          </c:extLst>
        </c:ser>
        <c:ser>
          <c:idx val="4"/>
          <c:order val="3"/>
          <c:tx>
            <c:strRef>
              <c:f>'HECO 2013'!$E$6</c:f>
              <c:strCache>
                <c:ptCount val="1"/>
                <c:pt idx="0">
                  <c:v>Moved by Passion</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2013'!$E$7:$E$45</c:f>
              <c:numCache>
                <c:formatCode>General</c:formatCode>
                <c:ptCount val="39"/>
                <c:pt idx="0">
                  <c:v>2</c:v>
                </c:pt>
                <c:pt idx="1">
                  <c:v>4</c:v>
                </c:pt>
                <c:pt idx="2">
                  <c:v>6</c:v>
                </c:pt>
                <c:pt idx="3">
                  <c:v>9</c:v>
                </c:pt>
                <c:pt idx="4">
                  <c:v>13</c:v>
                </c:pt>
                <c:pt idx="5">
                  <c:v>20</c:v>
                </c:pt>
                <c:pt idx="6">
                  <c:v>27</c:v>
                </c:pt>
                <c:pt idx="7">
                  <c:v>36</c:v>
                </c:pt>
                <c:pt idx="8">
                  <c:v>46</c:v>
                </c:pt>
                <c:pt idx="9">
                  <c:v>58</c:v>
                </c:pt>
                <c:pt idx="10">
                  <c:v>72</c:v>
                </c:pt>
                <c:pt idx="11">
                  <c:v>88</c:v>
                </c:pt>
                <c:pt idx="12">
                  <c:v>105</c:v>
                </c:pt>
                <c:pt idx="13">
                  <c:v>124</c:v>
                </c:pt>
                <c:pt idx="14">
                  <c:v>145</c:v>
                </c:pt>
                <c:pt idx="15">
                  <c:v>167</c:v>
                </c:pt>
                <c:pt idx="16">
                  <c:v>190</c:v>
                </c:pt>
                <c:pt idx="17">
                  <c:v>214</c:v>
                </c:pt>
                <c:pt idx="18">
                  <c:v>239</c:v>
                </c:pt>
                <c:pt idx="19">
                  <c:v>266</c:v>
                </c:pt>
                <c:pt idx="20">
                  <c:v>292</c:v>
                </c:pt>
                <c:pt idx="21">
                  <c:v>319</c:v>
                </c:pt>
                <c:pt idx="22">
                  <c:v>346</c:v>
                </c:pt>
                <c:pt idx="23">
                  <c:v>372</c:v>
                </c:pt>
                <c:pt idx="24">
                  <c:v>399</c:v>
                </c:pt>
                <c:pt idx="25">
                  <c:v>424</c:v>
                </c:pt>
                <c:pt idx="26">
                  <c:v>448</c:v>
                </c:pt>
                <c:pt idx="27">
                  <c:v>471</c:v>
                </c:pt>
                <c:pt idx="28">
                  <c:v>493</c:v>
                </c:pt>
                <c:pt idx="29">
                  <c:v>514</c:v>
                </c:pt>
                <c:pt idx="30">
                  <c:v>533</c:v>
                </c:pt>
                <c:pt idx="31">
                  <c:v>550</c:v>
                </c:pt>
                <c:pt idx="32">
                  <c:v>566</c:v>
                </c:pt>
                <c:pt idx="33">
                  <c:v>580</c:v>
                </c:pt>
                <c:pt idx="34">
                  <c:v>592</c:v>
                </c:pt>
                <c:pt idx="35">
                  <c:v>602</c:v>
                </c:pt>
                <c:pt idx="36">
                  <c:v>611</c:v>
                </c:pt>
                <c:pt idx="37">
                  <c:v>618</c:v>
                </c:pt>
                <c:pt idx="38">
                  <c:v>625</c:v>
                </c:pt>
              </c:numCache>
            </c:numRef>
          </c:val>
          <c:smooth val="0"/>
          <c:extLst>
            <c:ext xmlns:c16="http://schemas.microsoft.com/office/drawing/2014/chart" uri="{C3380CC4-5D6E-409C-BE32-E72D297353CC}">
              <c16:uniqueId val="{00000003-A3A3-B647-9737-5AC31D38A19B}"/>
            </c:ext>
          </c:extLst>
        </c:ser>
        <c:ser>
          <c:idx val="0"/>
          <c:order val="4"/>
          <c:tx>
            <c:strRef>
              <c:f>'HECO 2013'!$G$6</c:f>
              <c:strCache>
                <c:ptCount val="1"/>
                <c:pt idx="0">
                  <c:v>Business as Usual</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2013'!$G$7:$G$45</c:f>
              <c:numCache>
                <c:formatCode>General</c:formatCode>
                <c:ptCount val="39"/>
                <c:pt idx="0">
                  <c:v>1.4756670000000001</c:v>
                </c:pt>
                <c:pt idx="1">
                  <c:v>2.8446855000000002</c:v>
                </c:pt>
                <c:pt idx="2">
                  <c:v>4.3573529999999998</c:v>
                </c:pt>
                <c:pt idx="3">
                  <c:v>5.8330200000000003</c:v>
                </c:pt>
                <c:pt idx="4">
                  <c:v>7.5111015000000005</c:v>
                </c:pt>
                <c:pt idx="5">
                  <c:v>10.379728500000001</c:v>
                </c:pt>
                <c:pt idx="6">
                  <c:v>12.7216425</c:v>
                </c:pt>
                <c:pt idx="7">
                  <c:v>14.6761395</c:v>
                </c:pt>
                <c:pt idx="8">
                  <c:v>16.630636500000001</c:v>
                </c:pt>
                <c:pt idx="9">
                  <c:v>18.585133500000001</c:v>
                </c:pt>
                <c:pt idx="10">
                  <c:v>20.539630500000001</c:v>
                </c:pt>
                <c:pt idx="11">
                  <c:v>22.494127500000001</c:v>
                </c:pt>
                <c:pt idx="12">
                  <c:v>24.448624500000001</c:v>
                </c:pt>
                <c:pt idx="13">
                  <c:v>26.403121500000001</c:v>
                </c:pt>
                <c:pt idx="14">
                  <c:v>28.357618500000001</c:v>
                </c:pt>
                <c:pt idx="15">
                  <c:v>30.312115500000001</c:v>
                </c:pt>
                <c:pt idx="16">
                  <c:v>32.266612500000001</c:v>
                </c:pt>
                <c:pt idx="17">
                  <c:v>34.221109500000004</c:v>
                </c:pt>
                <c:pt idx="18">
                  <c:v>36.175606500000001</c:v>
                </c:pt>
                <c:pt idx="19">
                  <c:v>38.130103500000004</c:v>
                </c:pt>
                <c:pt idx="20">
                  <c:v>40.084600500000001</c:v>
                </c:pt>
                <c:pt idx="21">
                  <c:v>42.039097500000004</c:v>
                </c:pt>
                <c:pt idx="22">
                  <c:v>43.9935945</c:v>
                </c:pt>
                <c:pt idx="23">
                  <c:v>45.948091500000004</c:v>
                </c:pt>
                <c:pt idx="24">
                  <c:v>47.9025885</c:v>
                </c:pt>
                <c:pt idx="25">
                  <c:v>49.857085500000004</c:v>
                </c:pt>
                <c:pt idx="26">
                  <c:v>51.8115825</c:v>
                </c:pt>
                <c:pt idx="27">
                  <c:v>53.766079500000004</c:v>
                </c:pt>
                <c:pt idx="28">
                  <c:v>55.7205765</c:v>
                </c:pt>
                <c:pt idx="29">
                  <c:v>57.675073500000003</c:v>
                </c:pt>
                <c:pt idx="30">
                  <c:v>59.6295705</c:v>
                </c:pt>
                <c:pt idx="31">
                  <c:v>61.584067500000003</c:v>
                </c:pt>
                <c:pt idx="32">
                  <c:v>63.5385645</c:v>
                </c:pt>
                <c:pt idx="33">
                  <c:v>65.493061499999996</c:v>
                </c:pt>
                <c:pt idx="34">
                  <c:v>67.4475585</c:v>
                </c:pt>
                <c:pt idx="35">
                  <c:v>69.402055500000003</c:v>
                </c:pt>
                <c:pt idx="36">
                  <c:v>71.356552500000006</c:v>
                </c:pt>
                <c:pt idx="37">
                  <c:v>73.311049499999996</c:v>
                </c:pt>
                <c:pt idx="38">
                  <c:v>75.265546499999999</c:v>
                </c:pt>
              </c:numCache>
            </c:numRef>
          </c:val>
          <c:smooth val="0"/>
          <c:extLst>
            <c:ext xmlns:c16="http://schemas.microsoft.com/office/drawing/2014/chart" uri="{C3380CC4-5D6E-409C-BE32-E72D297353CC}">
              <c16:uniqueId val="{00000004-A3A3-B647-9737-5AC31D38A19B}"/>
            </c:ext>
          </c:extLst>
        </c:ser>
        <c:dLbls>
          <c:showLegendKey val="0"/>
          <c:showVal val="0"/>
          <c:showCatName val="0"/>
          <c:showSerName val="0"/>
          <c:showPercent val="0"/>
          <c:showBubbleSize val="0"/>
        </c:dLbls>
        <c:smooth val="0"/>
        <c:axId val="2091346968"/>
        <c:axId val="2091350024"/>
      </c:lineChart>
      <c:catAx>
        <c:axId val="2091346968"/>
        <c:scaling>
          <c:orientation val="minMax"/>
        </c:scaling>
        <c:delete val="0"/>
        <c:axPos val="b"/>
        <c:numFmt formatCode="General" sourceLinked="1"/>
        <c:majorTickMark val="out"/>
        <c:minorTickMark val="none"/>
        <c:tickLblPos val="nextTo"/>
        <c:crossAx val="2091350024"/>
        <c:crosses val="autoZero"/>
        <c:auto val="1"/>
        <c:lblAlgn val="ctr"/>
        <c:lblOffset val="100"/>
        <c:noMultiLvlLbl val="0"/>
      </c:catAx>
      <c:valAx>
        <c:axId val="2091350024"/>
        <c:scaling>
          <c:orientation val="minMax"/>
        </c:scaling>
        <c:delete val="0"/>
        <c:axPos val="l"/>
        <c:majorGridlines/>
        <c:numFmt formatCode="General" sourceLinked="1"/>
        <c:majorTickMark val="out"/>
        <c:minorTickMark val="none"/>
        <c:tickLblPos val="nextTo"/>
        <c:crossAx val="2091346968"/>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marker>
            <c:symbol val="none"/>
          </c:marker>
          <c:cat>
            <c:numRef>
              <c:f>'BAU adoption'!$C$4:$EW$4</c:f>
              <c:numCache>
                <c:formatCode>[$-409]mmm\-yy;@</c:formatCode>
                <c:ptCount val="151"/>
                <c:pt idx="0">
                  <c:v>38718</c:v>
                </c:pt>
                <c:pt idx="1">
                  <c:v>38749</c:v>
                </c:pt>
                <c:pt idx="2">
                  <c:v>38777</c:v>
                </c:pt>
                <c:pt idx="3">
                  <c:v>38808</c:v>
                </c:pt>
                <c:pt idx="4" formatCode="mmm\-yy">
                  <c:v>38838</c:v>
                </c:pt>
                <c:pt idx="5" formatCode="mmm\-yy">
                  <c:v>38869</c:v>
                </c:pt>
                <c:pt idx="6" formatCode="mmm\-yy">
                  <c:v>38899</c:v>
                </c:pt>
                <c:pt idx="7" formatCode="mmm\-yy">
                  <c:v>38930</c:v>
                </c:pt>
                <c:pt idx="8" formatCode="mmm\-yy">
                  <c:v>38961</c:v>
                </c:pt>
                <c:pt idx="9" formatCode="mmm\-yy">
                  <c:v>38991</c:v>
                </c:pt>
                <c:pt idx="10" formatCode="mmm\-yy">
                  <c:v>39022</c:v>
                </c:pt>
                <c:pt idx="11" formatCode="mmm\-yy">
                  <c:v>39052</c:v>
                </c:pt>
                <c:pt idx="12" formatCode="mmm\-yy">
                  <c:v>39083</c:v>
                </c:pt>
                <c:pt idx="13" formatCode="mmm\-yy">
                  <c:v>39114</c:v>
                </c:pt>
                <c:pt idx="14" formatCode="mmm\-yy">
                  <c:v>39142</c:v>
                </c:pt>
                <c:pt idx="15" formatCode="mmm\-yy">
                  <c:v>39173</c:v>
                </c:pt>
                <c:pt idx="16" formatCode="mmm\-yy">
                  <c:v>39203</c:v>
                </c:pt>
                <c:pt idx="17" formatCode="mmm\-yy">
                  <c:v>39234</c:v>
                </c:pt>
                <c:pt idx="18" formatCode="mmm\-yy">
                  <c:v>39264</c:v>
                </c:pt>
                <c:pt idx="19" formatCode="mmm\-yy">
                  <c:v>39295</c:v>
                </c:pt>
                <c:pt idx="20" formatCode="mmm\-yy">
                  <c:v>39326</c:v>
                </c:pt>
                <c:pt idx="21" formatCode="mmm\-yy">
                  <c:v>39356</c:v>
                </c:pt>
                <c:pt idx="22" formatCode="mmm\-yy">
                  <c:v>39387</c:v>
                </c:pt>
                <c:pt idx="23" formatCode="mmm\-yy">
                  <c:v>39417</c:v>
                </c:pt>
                <c:pt idx="24" formatCode="mmm\-yy">
                  <c:v>39448</c:v>
                </c:pt>
                <c:pt idx="25" formatCode="mmm\-yy">
                  <c:v>39479</c:v>
                </c:pt>
                <c:pt idx="26" formatCode="mmm\-yy">
                  <c:v>39508</c:v>
                </c:pt>
                <c:pt idx="27" formatCode="mmm\-yy">
                  <c:v>39539</c:v>
                </c:pt>
                <c:pt idx="28" formatCode="mmm\-yy">
                  <c:v>39569</c:v>
                </c:pt>
                <c:pt idx="29" formatCode="mmm\-yy">
                  <c:v>39600</c:v>
                </c:pt>
                <c:pt idx="30" formatCode="mmm\-yy">
                  <c:v>39630</c:v>
                </c:pt>
                <c:pt idx="31" formatCode="mmm\-yy">
                  <c:v>39661</c:v>
                </c:pt>
                <c:pt idx="32" formatCode="mmm\-yy">
                  <c:v>39692</c:v>
                </c:pt>
                <c:pt idx="33" formatCode="mmm\-yy">
                  <c:v>39722</c:v>
                </c:pt>
                <c:pt idx="34" formatCode="mmm\-yy">
                  <c:v>39753</c:v>
                </c:pt>
                <c:pt idx="35" formatCode="mmm\-yy">
                  <c:v>39783</c:v>
                </c:pt>
                <c:pt idx="36" formatCode="mmm\-yy">
                  <c:v>39814</c:v>
                </c:pt>
                <c:pt idx="37" formatCode="mmm\-yy">
                  <c:v>39845</c:v>
                </c:pt>
                <c:pt idx="38" formatCode="mmm\-yy">
                  <c:v>39873</c:v>
                </c:pt>
                <c:pt idx="39" formatCode="mmm\-yy">
                  <c:v>39904</c:v>
                </c:pt>
                <c:pt idx="40" formatCode="mmm\-yy">
                  <c:v>39934</c:v>
                </c:pt>
                <c:pt idx="41" formatCode="mmm\-yy">
                  <c:v>39965</c:v>
                </c:pt>
                <c:pt idx="42" formatCode="mmm\-yy">
                  <c:v>39995</c:v>
                </c:pt>
                <c:pt idx="43" formatCode="mmm\-yy">
                  <c:v>40026</c:v>
                </c:pt>
                <c:pt idx="44" formatCode="mmm\-yy">
                  <c:v>40057</c:v>
                </c:pt>
                <c:pt idx="45" formatCode="mmm\-yy">
                  <c:v>40087</c:v>
                </c:pt>
                <c:pt idx="46" formatCode="mmm\-yy">
                  <c:v>40118</c:v>
                </c:pt>
                <c:pt idx="47" formatCode="mmm\-yy">
                  <c:v>40148</c:v>
                </c:pt>
                <c:pt idx="48" formatCode="mmm\-yy">
                  <c:v>40179</c:v>
                </c:pt>
                <c:pt idx="49" formatCode="mmm\-yy">
                  <c:v>40210</c:v>
                </c:pt>
                <c:pt idx="50" formatCode="mmm\-yy">
                  <c:v>40238</c:v>
                </c:pt>
                <c:pt idx="51" formatCode="mmm\-yy">
                  <c:v>40269</c:v>
                </c:pt>
                <c:pt idx="52" formatCode="mmm\-yy">
                  <c:v>40299</c:v>
                </c:pt>
                <c:pt idx="53" formatCode="mmm\-yy">
                  <c:v>40330</c:v>
                </c:pt>
                <c:pt idx="54" formatCode="mmm\-yy">
                  <c:v>40360</c:v>
                </c:pt>
                <c:pt idx="55" formatCode="mmm\-yy">
                  <c:v>40391</c:v>
                </c:pt>
                <c:pt idx="56" formatCode="mmm\-yy">
                  <c:v>40422</c:v>
                </c:pt>
                <c:pt idx="57" formatCode="mmm\-yy">
                  <c:v>40452</c:v>
                </c:pt>
                <c:pt idx="58" formatCode="mmm\-yy">
                  <c:v>40483</c:v>
                </c:pt>
                <c:pt idx="59" formatCode="mmm\-yy">
                  <c:v>40513</c:v>
                </c:pt>
                <c:pt idx="60" formatCode="mmm\-yy">
                  <c:v>40544</c:v>
                </c:pt>
                <c:pt idx="61" formatCode="mmm\-yy">
                  <c:v>40575</c:v>
                </c:pt>
                <c:pt idx="62" formatCode="mmm\-yy">
                  <c:v>40603</c:v>
                </c:pt>
                <c:pt idx="63" formatCode="mmm\-yy">
                  <c:v>40634</c:v>
                </c:pt>
                <c:pt idx="64" formatCode="mmm\-yy">
                  <c:v>40664</c:v>
                </c:pt>
                <c:pt idx="65" formatCode="mmm\-yy">
                  <c:v>40695</c:v>
                </c:pt>
                <c:pt idx="66" formatCode="mmm\-yy">
                  <c:v>40725</c:v>
                </c:pt>
                <c:pt idx="67" formatCode="mmm\-yy">
                  <c:v>40756</c:v>
                </c:pt>
                <c:pt idx="68" formatCode="mmm\-yy">
                  <c:v>40787</c:v>
                </c:pt>
                <c:pt idx="69" formatCode="mmm\-yy">
                  <c:v>40817</c:v>
                </c:pt>
                <c:pt idx="70" formatCode="mmm\-yy">
                  <c:v>40848</c:v>
                </c:pt>
                <c:pt idx="71" formatCode="mmm\-yy">
                  <c:v>40878</c:v>
                </c:pt>
                <c:pt idx="72" formatCode="mmm\-yy">
                  <c:v>40909</c:v>
                </c:pt>
                <c:pt idx="73" formatCode="mmm\-yy">
                  <c:v>40940</c:v>
                </c:pt>
                <c:pt idx="74" formatCode="mmm\-yy">
                  <c:v>40969</c:v>
                </c:pt>
                <c:pt idx="75" formatCode="mmm\-yy">
                  <c:v>41000</c:v>
                </c:pt>
                <c:pt idx="76" formatCode="mmm\-yy">
                  <c:v>41030</c:v>
                </c:pt>
                <c:pt idx="77" formatCode="mmm\-yy">
                  <c:v>41061</c:v>
                </c:pt>
                <c:pt idx="78" formatCode="mmm\-yy">
                  <c:v>41091</c:v>
                </c:pt>
                <c:pt idx="79" formatCode="mmm\-yy">
                  <c:v>41122</c:v>
                </c:pt>
                <c:pt idx="80" formatCode="mmm\-yy">
                  <c:v>41153</c:v>
                </c:pt>
                <c:pt idx="81" formatCode="mmm\-yy">
                  <c:v>41183</c:v>
                </c:pt>
                <c:pt idx="82" formatCode="mmm\-yy">
                  <c:v>41214</c:v>
                </c:pt>
                <c:pt idx="83" formatCode="mmm\-yy">
                  <c:v>41244</c:v>
                </c:pt>
                <c:pt idx="84" formatCode="mmm\-yy">
                  <c:v>41275</c:v>
                </c:pt>
                <c:pt idx="85" formatCode="mmm\-yy">
                  <c:v>41306</c:v>
                </c:pt>
                <c:pt idx="86" formatCode="mmm\-yy">
                  <c:v>41334</c:v>
                </c:pt>
                <c:pt idx="87" formatCode="mmm\-yy">
                  <c:v>41365</c:v>
                </c:pt>
                <c:pt idx="88" formatCode="mmm\-yy">
                  <c:v>41395</c:v>
                </c:pt>
                <c:pt idx="89" formatCode="mmm\-yy">
                  <c:v>41426</c:v>
                </c:pt>
                <c:pt idx="90" formatCode="mmm\-yy">
                  <c:v>41456</c:v>
                </c:pt>
                <c:pt idx="91" formatCode="mmm\-yy">
                  <c:v>41487</c:v>
                </c:pt>
                <c:pt idx="92" formatCode="mmm\-yy">
                  <c:v>41518</c:v>
                </c:pt>
                <c:pt idx="93" formatCode="mmm\-yy">
                  <c:v>41548</c:v>
                </c:pt>
                <c:pt idx="94" formatCode="mmm\-yy">
                  <c:v>41579</c:v>
                </c:pt>
                <c:pt idx="95" formatCode="mmm\-yy">
                  <c:v>41609</c:v>
                </c:pt>
                <c:pt idx="96" formatCode="mmm\-yy">
                  <c:v>41640</c:v>
                </c:pt>
                <c:pt idx="97" formatCode="mmm\-yy">
                  <c:v>41671</c:v>
                </c:pt>
                <c:pt idx="98" formatCode="mmm\-yy">
                  <c:v>41699</c:v>
                </c:pt>
                <c:pt idx="99" formatCode="mmm\-yy">
                  <c:v>41730</c:v>
                </c:pt>
                <c:pt idx="100" formatCode="mmm\-yy">
                  <c:v>41760</c:v>
                </c:pt>
                <c:pt idx="101" formatCode="mmm\-yy">
                  <c:v>41791</c:v>
                </c:pt>
                <c:pt idx="102" formatCode="mmm\-yy">
                  <c:v>41821</c:v>
                </c:pt>
                <c:pt idx="103" formatCode="mmm\-yy">
                  <c:v>41852</c:v>
                </c:pt>
                <c:pt idx="104" formatCode="mmm\-yy">
                  <c:v>41883</c:v>
                </c:pt>
                <c:pt idx="105" formatCode="mmm\-yy">
                  <c:v>41913</c:v>
                </c:pt>
                <c:pt idx="106" formatCode="mmm\-yy">
                  <c:v>41944</c:v>
                </c:pt>
                <c:pt idx="107" formatCode="mmm\-yy">
                  <c:v>41974</c:v>
                </c:pt>
                <c:pt idx="108" formatCode="mmm\-yy">
                  <c:v>42005</c:v>
                </c:pt>
                <c:pt idx="109" formatCode="mmm\-yy">
                  <c:v>42036</c:v>
                </c:pt>
                <c:pt idx="110" formatCode="mmm\-yy">
                  <c:v>42064</c:v>
                </c:pt>
                <c:pt idx="111" formatCode="mmm\-yy">
                  <c:v>42095</c:v>
                </c:pt>
                <c:pt idx="112" formatCode="mmm\-yy">
                  <c:v>42125</c:v>
                </c:pt>
                <c:pt idx="113" formatCode="mmm\-yy">
                  <c:v>42156</c:v>
                </c:pt>
                <c:pt idx="114" formatCode="mmm\-yy">
                  <c:v>42186</c:v>
                </c:pt>
                <c:pt idx="115" formatCode="mmm\-yy">
                  <c:v>42217</c:v>
                </c:pt>
                <c:pt idx="116" formatCode="mmm\-yy">
                  <c:v>42248</c:v>
                </c:pt>
                <c:pt idx="117" formatCode="mmm\-yy">
                  <c:v>42278</c:v>
                </c:pt>
                <c:pt idx="118" formatCode="mmm\-yy">
                  <c:v>42309</c:v>
                </c:pt>
                <c:pt idx="119" formatCode="mmm\-yy">
                  <c:v>42339</c:v>
                </c:pt>
                <c:pt idx="120" formatCode="mmm\-yy">
                  <c:v>42370</c:v>
                </c:pt>
                <c:pt idx="121" formatCode="mmm\-yy">
                  <c:v>42401</c:v>
                </c:pt>
                <c:pt idx="122" formatCode="mmm\-yy">
                  <c:v>42430</c:v>
                </c:pt>
                <c:pt idx="123" formatCode="mmm\-yy">
                  <c:v>42461</c:v>
                </c:pt>
                <c:pt idx="124" formatCode="mmm\-yy">
                  <c:v>42491</c:v>
                </c:pt>
                <c:pt idx="125" formatCode="mmm\-yy">
                  <c:v>42522</c:v>
                </c:pt>
                <c:pt idx="126" formatCode="mmm\-yy">
                  <c:v>42552</c:v>
                </c:pt>
                <c:pt idx="127" formatCode="mmm\-yy">
                  <c:v>42583</c:v>
                </c:pt>
                <c:pt idx="128" formatCode="mmm\-yy">
                  <c:v>42614</c:v>
                </c:pt>
                <c:pt idx="129" formatCode="mmm\-yy">
                  <c:v>42644</c:v>
                </c:pt>
                <c:pt idx="130" formatCode="mmm\-yy">
                  <c:v>42675</c:v>
                </c:pt>
                <c:pt idx="131" formatCode="mmm\-yy">
                  <c:v>42705</c:v>
                </c:pt>
                <c:pt idx="132" formatCode="mmm\-yy">
                  <c:v>42736</c:v>
                </c:pt>
                <c:pt idx="133" formatCode="mmm\-yy">
                  <c:v>42767</c:v>
                </c:pt>
                <c:pt idx="134" formatCode="mmm\-yy">
                  <c:v>42795</c:v>
                </c:pt>
                <c:pt idx="135" formatCode="mmm\-yy">
                  <c:v>42826</c:v>
                </c:pt>
                <c:pt idx="136" formatCode="mmm\-yy">
                  <c:v>42856</c:v>
                </c:pt>
                <c:pt idx="137" formatCode="mmm\-yy">
                  <c:v>42887</c:v>
                </c:pt>
                <c:pt idx="138" formatCode="mmm\-yy">
                  <c:v>42917</c:v>
                </c:pt>
                <c:pt idx="139" formatCode="mmm\-yy">
                  <c:v>42948</c:v>
                </c:pt>
                <c:pt idx="140" formatCode="mmm\-yy">
                  <c:v>42979</c:v>
                </c:pt>
                <c:pt idx="141" formatCode="mmm\-yy">
                  <c:v>43009</c:v>
                </c:pt>
                <c:pt idx="142" formatCode="mmm\-yy">
                  <c:v>43040</c:v>
                </c:pt>
                <c:pt idx="143" formatCode="mmm\-yy">
                  <c:v>43070</c:v>
                </c:pt>
                <c:pt idx="144" formatCode="mmm\-yy">
                  <c:v>43101</c:v>
                </c:pt>
                <c:pt idx="145" formatCode="mmm\-yy">
                  <c:v>43132</c:v>
                </c:pt>
                <c:pt idx="146" formatCode="mmm\-yy">
                  <c:v>43160</c:v>
                </c:pt>
                <c:pt idx="147" formatCode="mmm\-yy">
                  <c:v>43191</c:v>
                </c:pt>
                <c:pt idx="148" formatCode="mmm\-yy">
                  <c:v>43221</c:v>
                </c:pt>
                <c:pt idx="149" formatCode="mmm\-yy">
                  <c:v>43252</c:v>
                </c:pt>
                <c:pt idx="150" formatCode="mmm\-yy">
                  <c:v>43282</c:v>
                </c:pt>
              </c:numCache>
            </c:numRef>
          </c:cat>
          <c:val>
            <c:numRef>
              <c:f>'BAU adoption'!$C$6:$EW$6</c:f>
              <c:numCache>
                <c:formatCode>#,##0</c:formatCode>
                <c:ptCount val="151"/>
                <c:pt idx="0">
                  <c:v>68</c:v>
                </c:pt>
                <c:pt idx="1">
                  <c:v>70</c:v>
                </c:pt>
                <c:pt idx="2">
                  <c:v>68</c:v>
                </c:pt>
                <c:pt idx="3">
                  <c:v>70</c:v>
                </c:pt>
                <c:pt idx="4">
                  <c:v>70</c:v>
                </c:pt>
                <c:pt idx="5">
                  <c:v>72</c:v>
                </c:pt>
                <c:pt idx="6">
                  <c:v>70</c:v>
                </c:pt>
                <c:pt idx="7">
                  <c:v>70</c:v>
                </c:pt>
                <c:pt idx="8">
                  <c:v>70</c:v>
                </c:pt>
                <c:pt idx="9">
                  <c:v>74</c:v>
                </c:pt>
                <c:pt idx="10">
                  <c:v>75</c:v>
                </c:pt>
                <c:pt idx="11">
                  <c:v>74</c:v>
                </c:pt>
                <c:pt idx="12">
                  <c:v>78</c:v>
                </c:pt>
                <c:pt idx="13">
                  <c:v>95</c:v>
                </c:pt>
                <c:pt idx="14">
                  <c:v>103</c:v>
                </c:pt>
                <c:pt idx="15">
                  <c:v>105</c:v>
                </c:pt>
                <c:pt idx="16">
                  <c:v>103</c:v>
                </c:pt>
                <c:pt idx="17">
                  <c:v>102</c:v>
                </c:pt>
                <c:pt idx="18">
                  <c:v>101</c:v>
                </c:pt>
                <c:pt idx="19">
                  <c:v>98</c:v>
                </c:pt>
                <c:pt idx="20">
                  <c:v>102</c:v>
                </c:pt>
                <c:pt idx="21">
                  <c:v>102</c:v>
                </c:pt>
                <c:pt idx="22">
                  <c:v>103</c:v>
                </c:pt>
                <c:pt idx="23">
                  <c:v>102</c:v>
                </c:pt>
                <c:pt idx="24">
                  <c:v>103</c:v>
                </c:pt>
                <c:pt idx="25">
                  <c:v>103</c:v>
                </c:pt>
                <c:pt idx="26">
                  <c:v>100</c:v>
                </c:pt>
                <c:pt idx="27">
                  <c:v>99</c:v>
                </c:pt>
                <c:pt idx="28">
                  <c:v>101</c:v>
                </c:pt>
                <c:pt idx="29">
                  <c:v>101</c:v>
                </c:pt>
                <c:pt idx="30">
                  <c:v>101</c:v>
                </c:pt>
                <c:pt idx="31">
                  <c:v>105</c:v>
                </c:pt>
                <c:pt idx="32">
                  <c:v>109</c:v>
                </c:pt>
                <c:pt idx="33">
                  <c:v>110</c:v>
                </c:pt>
                <c:pt idx="34">
                  <c:v>109</c:v>
                </c:pt>
                <c:pt idx="35">
                  <c:v>109</c:v>
                </c:pt>
                <c:pt idx="36">
                  <c:v>111</c:v>
                </c:pt>
                <c:pt idx="37">
                  <c:v>115</c:v>
                </c:pt>
                <c:pt idx="38">
                  <c:v>116</c:v>
                </c:pt>
                <c:pt idx="39">
                  <c:v>111</c:v>
                </c:pt>
                <c:pt idx="40">
                  <c:v>112</c:v>
                </c:pt>
                <c:pt idx="41">
                  <c:v>112</c:v>
                </c:pt>
                <c:pt idx="42">
                  <c:v>105</c:v>
                </c:pt>
                <c:pt idx="43">
                  <c:v>105</c:v>
                </c:pt>
                <c:pt idx="44">
                  <c:v>105</c:v>
                </c:pt>
                <c:pt idx="45">
                  <c:v>103</c:v>
                </c:pt>
                <c:pt idx="46">
                  <c:v>105</c:v>
                </c:pt>
                <c:pt idx="47">
                  <c:v>106</c:v>
                </c:pt>
                <c:pt idx="48">
                  <c:v>110</c:v>
                </c:pt>
                <c:pt idx="49">
                  <c:v>106</c:v>
                </c:pt>
                <c:pt idx="50">
                  <c:v>104</c:v>
                </c:pt>
                <c:pt idx="51">
                  <c:v>103</c:v>
                </c:pt>
                <c:pt idx="52">
                  <c:v>104</c:v>
                </c:pt>
                <c:pt idx="53">
                  <c:v>104</c:v>
                </c:pt>
                <c:pt idx="54">
                  <c:v>102</c:v>
                </c:pt>
                <c:pt idx="55">
                  <c:v>99</c:v>
                </c:pt>
                <c:pt idx="56">
                  <c:v>98</c:v>
                </c:pt>
                <c:pt idx="57">
                  <c:v>98</c:v>
                </c:pt>
                <c:pt idx="58">
                  <c:v>96</c:v>
                </c:pt>
                <c:pt idx="59">
                  <c:v>98</c:v>
                </c:pt>
                <c:pt idx="60">
                  <c:v>151</c:v>
                </c:pt>
                <c:pt idx="61">
                  <c:v>148</c:v>
                </c:pt>
                <c:pt idx="62">
                  <c:v>148</c:v>
                </c:pt>
                <c:pt idx="63">
                  <c:v>159</c:v>
                </c:pt>
                <c:pt idx="64">
                  <c:v>185</c:v>
                </c:pt>
                <c:pt idx="65">
                  <c:v>207</c:v>
                </c:pt>
                <c:pt idx="66">
                  <c:v>224</c:v>
                </c:pt>
                <c:pt idx="67">
                  <c:v>289</c:v>
                </c:pt>
                <c:pt idx="68">
                  <c:v>375</c:v>
                </c:pt>
                <c:pt idx="69">
                  <c:v>390</c:v>
                </c:pt>
                <c:pt idx="70">
                  <c:v>396</c:v>
                </c:pt>
                <c:pt idx="71">
                  <c:v>410</c:v>
                </c:pt>
                <c:pt idx="72">
                  <c:v>495</c:v>
                </c:pt>
                <c:pt idx="73">
                  <c:v>526</c:v>
                </c:pt>
                <c:pt idx="74">
                  <c:v>547</c:v>
                </c:pt>
                <c:pt idx="75">
                  <c:v>565</c:v>
                </c:pt>
                <c:pt idx="76">
                  <c:v>614</c:v>
                </c:pt>
                <c:pt idx="77">
                  <c:v>650</c:v>
                </c:pt>
                <c:pt idx="78">
                  <c:v>678</c:v>
                </c:pt>
                <c:pt idx="79">
                  <c:v>719</c:v>
                </c:pt>
                <c:pt idx="80">
                  <c:v>737</c:v>
                </c:pt>
                <c:pt idx="81">
                  <c:v>785</c:v>
                </c:pt>
                <c:pt idx="82">
                  <c:v>845</c:v>
                </c:pt>
                <c:pt idx="83">
                  <c:v>870</c:v>
                </c:pt>
                <c:pt idx="84">
                  <c:v>906</c:v>
                </c:pt>
                <c:pt idx="85">
                  <c:v>946</c:v>
                </c:pt>
                <c:pt idx="86">
                  <c:v>972</c:v>
                </c:pt>
                <c:pt idx="87">
                  <c:v>1009</c:v>
                </c:pt>
                <c:pt idx="88">
                  <c:v>1093</c:v>
                </c:pt>
                <c:pt idx="89">
                  <c:v>1178</c:v>
                </c:pt>
                <c:pt idx="90">
                  <c:v>1307</c:v>
                </c:pt>
                <c:pt idx="91">
                  <c:v>1371</c:v>
                </c:pt>
                <c:pt idx="92">
                  <c:v>1427</c:v>
                </c:pt>
                <c:pt idx="93">
                  <c:v>1498</c:v>
                </c:pt>
                <c:pt idx="94">
                  <c:v>1560</c:v>
                </c:pt>
                <c:pt idx="95">
                  <c:v>1602</c:v>
                </c:pt>
                <c:pt idx="96">
                  <c:v>1661</c:v>
                </c:pt>
                <c:pt idx="97">
                  <c:v>1716</c:v>
                </c:pt>
                <c:pt idx="98">
                  <c:v>1757</c:v>
                </c:pt>
                <c:pt idx="99">
                  <c:v>1808</c:v>
                </c:pt>
                <c:pt idx="100">
                  <c:v>1852</c:v>
                </c:pt>
                <c:pt idx="101">
                  <c:v>1924</c:v>
                </c:pt>
                <c:pt idx="102">
                  <c:v>2002</c:v>
                </c:pt>
                <c:pt idx="103">
                  <c:v>2084</c:v>
                </c:pt>
                <c:pt idx="104">
                  <c:v>2147</c:v>
                </c:pt>
                <c:pt idx="105">
                  <c:v>2226</c:v>
                </c:pt>
                <c:pt idx="106">
                  <c:v>2275</c:v>
                </c:pt>
                <c:pt idx="107">
                  <c:v>2318</c:v>
                </c:pt>
                <c:pt idx="108">
                  <c:v>2382</c:v>
                </c:pt>
                <c:pt idx="109">
                  <c:v>2458</c:v>
                </c:pt>
                <c:pt idx="110">
                  <c:v>2498</c:v>
                </c:pt>
                <c:pt idx="111">
                  <c:v>2571</c:v>
                </c:pt>
                <c:pt idx="112">
                  <c:v>2620</c:v>
                </c:pt>
                <c:pt idx="113">
                  <c:v>2652</c:v>
                </c:pt>
                <c:pt idx="114">
                  <c:v>2680</c:v>
                </c:pt>
                <c:pt idx="115">
                  <c:v>2763</c:v>
                </c:pt>
                <c:pt idx="116">
                  <c:v>2824</c:v>
                </c:pt>
                <c:pt idx="117">
                  <c:v>2893</c:v>
                </c:pt>
                <c:pt idx="118">
                  <c:v>2957</c:v>
                </c:pt>
                <c:pt idx="119">
                  <c:v>3013</c:v>
                </c:pt>
                <c:pt idx="120">
                  <c:v>3088</c:v>
                </c:pt>
                <c:pt idx="121">
                  <c:v>3188</c:v>
                </c:pt>
                <c:pt idx="122">
                  <c:v>3233</c:v>
                </c:pt>
                <c:pt idx="123">
                  <c:v>3273</c:v>
                </c:pt>
                <c:pt idx="124">
                  <c:v>3370</c:v>
                </c:pt>
                <c:pt idx="125">
                  <c:v>3412</c:v>
                </c:pt>
                <c:pt idx="126">
                  <c:v>3451</c:v>
                </c:pt>
                <c:pt idx="127">
                  <c:v>3548</c:v>
                </c:pt>
                <c:pt idx="128">
                  <c:v>3650</c:v>
                </c:pt>
                <c:pt idx="129">
                  <c:v>3742</c:v>
                </c:pt>
                <c:pt idx="130">
                  <c:v>3875</c:v>
                </c:pt>
                <c:pt idx="131">
                  <c:v>3957</c:v>
                </c:pt>
                <c:pt idx="132">
                  <c:v>4018</c:v>
                </c:pt>
                <c:pt idx="133">
                  <c:v>4143</c:v>
                </c:pt>
                <c:pt idx="134">
                  <c:v>4273</c:v>
                </c:pt>
                <c:pt idx="135">
                  <c:v>4392</c:v>
                </c:pt>
                <c:pt idx="136">
                  <c:v>4509</c:v>
                </c:pt>
                <c:pt idx="137">
                  <c:v>4635</c:v>
                </c:pt>
                <c:pt idx="138">
                  <c:v>4769</c:v>
                </c:pt>
                <c:pt idx="139">
                  <c:v>4870</c:v>
                </c:pt>
                <c:pt idx="140">
                  <c:v>4960</c:v>
                </c:pt>
                <c:pt idx="141">
                  <c:v>5063</c:v>
                </c:pt>
                <c:pt idx="142">
                  <c:v>5156</c:v>
                </c:pt>
                <c:pt idx="143">
                  <c:v>5201</c:v>
                </c:pt>
                <c:pt idx="144">
                  <c:v>5242</c:v>
                </c:pt>
                <c:pt idx="145">
                  <c:v>5362</c:v>
                </c:pt>
                <c:pt idx="146">
                  <c:v>5399</c:v>
                </c:pt>
                <c:pt idx="147">
                  <c:v>5498</c:v>
                </c:pt>
                <c:pt idx="148">
                  <c:v>5640</c:v>
                </c:pt>
                <c:pt idx="149">
                  <c:v>5717</c:v>
                </c:pt>
                <c:pt idx="150">
                  <c:v>5845</c:v>
                </c:pt>
              </c:numCache>
            </c:numRef>
          </c:val>
          <c:smooth val="0"/>
          <c:extLst>
            <c:ext xmlns:c16="http://schemas.microsoft.com/office/drawing/2014/chart" uri="{C3380CC4-5D6E-409C-BE32-E72D297353CC}">
              <c16:uniqueId val="{00000000-936C-3B42-9C9D-8A26D5735B2C}"/>
            </c:ext>
          </c:extLst>
        </c:ser>
        <c:dLbls>
          <c:showLegendKey val="0"/>
          <c:showVal val="0"/>
          <c:showCatName val="0"/>
          <c:showSerName val="0"/>
          <c:showPercent val="0"/>
          <c:showBubbleSize val="0"/>
        </c:dLbls>
        <c:smooth val="0"/>
        <c:axId val="-2094597176"/>
        <c:axId val="-2094594168"/>
      </c:lineChart>
      <c:dateAx>
        <c:axId val="-2094597176"/>
        <c:scaling>
          <c:orientation val="minMax"/>
        </c:scaling>
        <c:delete val="0"/>
        <c:axPos val="b"/>
        <c:numFmt formatCode="[$-409]mmm\-yy;@" sourceLinked="1"/>
        <c:majorTickMark val="out"/>
        <c:minorTickMark val="none"/>
        <c:tickLblPos val="nextTo"/>
        <c:crossAx val="-2094594168"/>
        <c:crosses val="autoZero"/>
        <c:auto val="1"/>
        <c:lblOffset val="100"/>
        <c:baseTimeUnit val="months"/>
      </c:dateAx>
      <c:valAx>
        <c:axId val="-2094594168"/>
        <c:scaling>
          <c:orientation val="minMax"/>
        </c:scaling>
        <c:delete val="0"/>
        <c:axPos val="l"/>
        <c:majorGridlines/>
        <c:numFmt formatCode="#,##0" sourceLinked="1"/>
        <c:majorTickMark val="out"/>
        <c:minorTickMark val="none"/>
        <c:tickLblPos val="nextTo"/>
        <c:crossAx val="-209459717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1"/>
          <c:order val="0"/>
          <c:marker>
            <c:symbol val="none"/>
          </c:marker>
          <c:cat>
            <c:numRef>
              <c:f>'BAU adoption'!$A$25:$A$63</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'BAU adoption'!$C$25:$C$63</c:f>
              <c:numCache>
                <c:formatCode>#,##0</c:formatCode>
                <c:ptCount val="39"/>
                <c:pt idx="0">
                  <c:v>678</c:v>
                </c:pt>
                <c:pt idx="1">
                  <c:v>1307</c:v>
                </c:pt>
                <c:pt idx="2">
                  <c:v>2002</c:v>
                </c:pt>
                <c:pt idx="3">
                  <c:v>2680</c:v>
                </c:pt>
                <c:pt idx="4">
                  <c:v>3451</c:v>
                </c:pt>
                <c:pt idx="5">
                  <c:v>4769</c:v>
                </c:pt>
                <c:pt idx="6">
                  <c:v>5845</c:v>
                </c:pt>
                <c:pt idx="7">
                  <c:v>6743</c:v>
                </c:pt>
                <c:pt idx="8">
                  <c:v>7641</c:v>
                </c:pt>
                <c:pt idx="9">
                  <c:v>8539</c:v>
                </c:pt>
                <c:pt idx="10">
                  <c:v>9437</c:v>
                </c:pt>
                <c:pt idx="11">
                  <c:v>10335</c:v>
                </c:pt>
                <c:pt idx="12">
                  <c:v>11233</c:v>
                </c:pt>
                <c:pt idx="13">
                  <c:v>12131</c:v>
                </c:pt>
                <c:pt idx="14">
                  <c:v>13029</c:v>
                </c:pt>
                <c:pt idx="15">
                  <c:v>13927</c:v>
                </c:pt>
                <c:pt idx="16">
                  <c:v>14825</c:v>
                </c:pt>
                <c:pt idx="17">
                  <c:v>15723</c:v>
                </c:pt>
                <c:pt idx="18">
                  <c:v>16621</c:v>
                </c:pt>
                <c:pt idx="19">
                  <c:v>17519</c:v>
                </c:pt>
                <c:pt idx="20">
                  <c:v>18417</c:v>
                </c:pt>
                <c:pt idx="21">
                  <c:v>19315</c:v>
                </c:pt>
                <c:pt idx="22">
                  <c:v>20213</c:v>
                </c:pt>
                <c:pt idx="23">
                  <c:v>21111</c:v>
                </c:pt>
                <c:pt idx="24">
                  <c:v>22009</c:v>
                </c:pt>
                <c:pt idx="25">
                  <c:v>22907</c:v>
                </c:pt>
                <c:pt idx="26">
                  <c:v>23805</c:v>
                </c:pt>
                <c:pt idx="27">
                  <c:v>24703</c:v>
                </c:pt>
                <c:pt idx="28">
                  <c:v>25601</c:v>
                </c:pt>
                <c:pt idx="29">
                  <c:v>26499</c:v>
                </c:pt>
                <c:pt idx="30">
                  <c:v>27397</c:v>
                </c:pt>
                <c:pt idx="31">
                  <c:v>28295</c:v>
                </c:pt>
                <c:pt idx="32">
                  <c:v>29193</c:v>
                </c:pt>
                <c:pt idx="33">
                  <c:v>30091</c:v>
                </c:pt>
                <c:pt idx="34">
                  <c:v>30989</c:v>
                </c:pt>
                <c:pt idx="35">
                  <c:v>31887</c:v>
                </c:pt>
                <c:pt idx="36">
                  <c:v>32785</c:v>
                </c:pt>
                <c:pt idx="37">
                  <c:v>33683</c:v>
                </c:pt>
                <c:pt idx="38">
                  <c:v>34581</c:v>
                </c:pt>
              </c:numCache>
            </c:numRef>
          </c:val>
          <c:smooth val="0"/>
          <c:extLst>
            <c:ext xmlns:c16="http://schemas.microsoft.com/office/drawing/2014/chart" uri="{C3380CC4-5D6E-409C-BE32-E72D297353CC}">
              <c16:uniqueId val="{00000000-903C-6549-B8D2-6CCBC3192616}"/>
            </c:ext>
          </c:extLst>
        </c:ser>
        <c:dLbls>
          <c:showLegendKey val="0"/>
          <c:showVal val="0"/>
          <c:showCatName val="0"/>
          <c:showSerName val="0"/>
          <c:showPercent val="0"/>
          <c:showBubbleSize val="0"/>
        </c:dLbls>
        <c:smooth val="0"/>
        <c:axId val="-2095677016"/>
        <c:axId val="-2095673960"/>
      </c:lineChart>
      <c:catAx>
        <c:axId val="-2095677016"/>
        <c:scaling>
          <c:orientation val="minMax"/>
        </c:scaling>
        <c:delete val="0"/>
        <c:axPos val="b"/>
        <c:numFmt formatCode="General" sourceLinked="1"/>
        <c:majorTickMark val="out"/>
        <c:minorTickMark val="none"/>
        <c:tickLblPos val="nextTo"/>
        <c:crossAx val="-2095673960"/>
        <c:crosses val="autoZero"/>
        <c:auto val="1"/>
        <c:lblAlgn val="ctr"/>
        <c:lblOffset val="100"/>
        <c:noMultiLvlLbl val="0"/>
      </c:catAx>
      <c:valAx>
        <c:axId val="-2095673960"/>
        <c:scaling>
          <c:orientation val="minMax"/>
        </c:scaling>
        <c:delete val="0"/>
        <c:axPos val="l"/>
        <c:majorGridlines/>
        <c:numFmt formatCode="#,##0" sourceLinked="1"/>
        <c:majorTickMark val="out"/>
        <c:minorTickMark val="none"/>
        <c:tickLblPos val="nextTo"/>
        <c:crossAx val="-209567701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9"/>
            <c:spPr>
              <a:solidFill>
                <a:schemeClr val="tx1"/>
              </a:solidFill>
              <a:ln w="9525">
                <a:noFill/>
              </a:ln>
              <a:effectLst/>
            </c:spPr>
          </c:marker>
          <c:xVal>
            <c:numRef>
              <c:f>EoT!$A$6:$A$38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EoT!$B$6:$B$38</c:f>
              <c:numCache>
                <c:formatCode>0.000%</c:formatCode>
                <c:ptCount val="33"/>
                <c:pt idx="0">
                  <c:v>1.12E-2</c:v>
                </c:pt>
                <c:pt idx="1">
                  <c:v>1.26E-2</c:v>
                </c:pt>
                <c:pt idx="2">
                  <c:v>1.55E-2</c:v>
                </c:pt>
                <c:pt idx="3">
                  <c:v>1.84E-2</c:v>
                </c:pt>
                <c:pt idx="4">
                  <c:v>2.1499999999999998E-2</c:v>
                </c:pt>
                <c:pt idx="5">
                  <c:v>2.64E-2</c:v>
                </c:pt>
                <c:pt idx="6">
                  <c:v>3.15E-2</c:v>
                </c:pt>
                <c:pt idx="7">
                  <c:v>3.7999999999999999E-2</c:v>
                </c:pt>
                <c:pt idx="8">
                  <c:v>4.4999999999999998E-2</c:v>
                </c:pt>
                <c:pt idx="9">
                  <c:v>5.28E-2</c:v>
                </c:pt>
                <c:pt idx="10">
                  <c:v>6.2600000000000003E-2</c:v>
                </c:pt>
                <c:pt idx="11">
                  <c:v>7.2999999999999995E-2</c:v>
                </c:pt>
                <c:pt idx="12">
                  <c:v>8.4500000000000006E-2</c:v>
                </c:pt>
                <c:pt idx="13">
                  <c:v>9.7199999999999995E-2</c:v>
                </c:pt>
                <c:pt idx="14">
                  <c:v>0.1128</c:v>
                </c:pt>
                <c:pt idx="15">
                  <c:v>0.128</c:v>
                </c:pt>
                <c:pt idx="16">
                  <c:v>0.14549999999999999</c:v>
                </c:pt>
                <c:pt idx="17">
                  <c:v>0.16500000000000001</c:v>
                </c:pt>
                <c:pt idx="18">
                  <c:v>0.18379999999999999</c:v>
                </c:pt>
                <c:pt idx="19">
                  <c:v>0.20599999999999999</c:v>
                </c:pt>
                <c:pt idx="20">
                  <c:v>0.23150000000000001</c:v>
                </c:pt>
                <c:pt idx="21">
                  <c:v>0.26050000000000001</c:v>
                </c:pt>
                <c:pt idx="22">
                  <c:v>0.29549999999999998</c:v>
                </c:pt>
                <c:pt idx="23">
                  <c:v>0.33650000000000002</c:v>
                </c:pt>
                <c:pt idx="24">
                  <c:v>0.38100000000000001</c:v>
                </c:pt>
                <c:pt idx="25">
                  <c:v>0.43049999999999999</c:v>
                </c:pt>
                <c:pt idx="26">
                  <c:v>0.48549999999999999</c:v>
                </c:pt>
                <c:pt idx="27">
                  <c:v>0.54500000000000004</c:v>
                </c:pt>
                <c:pt idx="28">
                  <c:v>0.59450000000000003</c:v>
                </c:pt>
                <c:pt idx="29">
                  <c:v>0.63900000000000001</c:v>
                </c:pt>
                <c:pt idx="30">
                  <c:v>0.68</c:v>
                </c:pt>
                <c:pt idx="31">
                  <c:v>0.71500000000000008</c:v>
                </c:pt>
                <c:pt idx="32">
                  <c:v>0.74399999999999999</c:v>
                </c:pt>
              </c:numCache>
            </c:numRef>
          </c:yVal>
          <c:smooth val="0"/>
          <c:extLst>
            <c:ext xmlns:c16="http://schemas.microsoft.com/office/drawing/2014/chart" uri="{C3380CC4-5D6E-409C-BE32-E72D297353CC}">
              <c16:uniqueId val="{00000000-31FE-0247-AD90-415B2D903D11}"/>
            </c:ext>
          </c:extLst>
        </c:ser>
        <c:dLbls>
          <c:showLegendKey val="0"/>
          <c:showVal val="0"/>
          <c:showCatName val="0"/>
          <c:showSerName val="0"/>
          <c:showPercent val="0"/>
          <c:showBubbleSize val="0"/>
        </c:dLbls>
        <c:axId val="631603727"/>
        <c:axId val="631150639"/>
      </c:scatterChart>
      <c:valAx>
        <c:axId val="631603727"/>
        <c:scaling>
          <c:orientation val="minMax"/>
          <c:max val="2045"/>
          <c:min val="20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150639"/>
        <c:crosses val="autoZero"/>
        <c:crossBetween val="midCat"/>
      </c:valAx>
      <c:valAx>
        <c:axId val="631150639"/>
        <c:scaling>
          <c:orientation val="minMax"/>
          <c:max val="0.55000000000000004"/>
          <c:min val="0"/>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603727"/>
        <c:crosses val="autoZero"/>
        <c:crossBetween val="midCat"/>
      </c:valAx>
      <c:spPr>
        <a:blipFill>
          <a:blip xmlns:r="http://schemas.openxmlformats.org/officeDocument/2006/relationships" r:embed="rId3"/>
          <a:stretch>
            <a:fillRect/>
          </a:stretch>
        </a:blip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27</xdr:col>
      <xdr:colOff>406400</xdr:colOff>
      <xdr:row>12</xdr:row>
      <xdr:rowOff>82550</xdr:rowOff>
    </xdr:from>
    <xdr:to>
      <xdr:col>35</xdr:col>
      <xdr:colOff>292100</xdr:colOff>
      <xdr:row>47</xdr:row>
      <xdr:rowOff>152400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361950</xdr:colOff>
      <xdr:row>1</xdr:row>
      <xdr:rowOff>69850</xdr:rowOff>
    </xdr:from>
    <xdr:to>
      <xdr:col>35</xdr:col>
      <xdr:colOff>723900</xdr:colOff>
      <xdr:row>25</xdr:row>
      <xdr:rowOff>38100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393700</xdr:colOff>
      <xdr:row>7</xdr:row>
      <xdr:rowOff>57150</xdr:rowOff>
    </xdr:from>
    <xdr:to>
      <xdr:col>23</xdr:col>
      <xdr:colOff>12700</xdr:colOff>
      <xdr:row>21</xdr:row>
      <xdr:rowOff>146050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419100</xdr:colOff>
      <xdr:row>22</xdr:row>
      <xdr:rowOff>146050</xdr:rowOff>
    </xdr:from>
    <xdr:to>
      <xdr:col>11</xdr:col>
      <xdr:colOff>38100</xdr:colOff>
      <xdr:row>37</xdr:row>
      <xdr:rowOff>31750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431800</xdr:colOff>
      <xdr:row>37</xdr:row>
      <xdr:rowOff>184150</xdr:rowOff>
    </xdr:from>
    <xdr:to>
      <xdr:col>11</xdr:col>
      <xdr:colOff>50800</xdr:colOff>
      <xdr:row>52</xdr:row>
      <xdr:rowOff>69850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673100</xdr:colOff>
      <xdr:row>4</xdr:row>
      <xdr:rowOff>12700</xdr:rowOff>
    </xdr:from>
    <xdr:to>
      <xdr:col>18</xdr:col>
      <xdr:colOff>800100</xdr:colOff>
      <xdr:row>36</xdr:row>
      <xdr:rowOff>152400</xdr:rowOff>
    </xdr:to>
    <xdr:graphicFrame macro="">
      <xdr:nvGraphicFramePr>
        <xdr:cNvPr id="2" name="Chart 1">
          <a:extLst>
            <a:ext uri="{FF2B5EF4-FFF2-40B4-BE49-F238E27FC236}">
              <a16:creationId xmlns:a16="http://schemas.microsoft.com/office/drawing/2014/main" id="{E6890F55-5F7F-5043-9692-4AFA5C974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hawaiianelectric.com/documents/clean_energy_hawaii/electrification_of_transportation/201803_eot_roadmap.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heetViews>
  <sheetFormatPr baseColWidth="10" defaultRowHeight="16" x14ac:dyDescent="0.2"/>
  <cols>
    <col min="1" max="1" width="17" customWidth="1"/>
    <col min="2" max="2" width="13.83203125" customWidth="1"/>
  </cols>
  <sheetData>
    <row r="1" spans="1:30" x14ac:dyDescent="0.2">
      <c r="A1" t="s">
        <v>45</v>
      </c>
      <c r="B1" s="9">
        <v>7112000000</v>
      </c>
      <c r="C1" t="s">
        <v>147</v>
      </c>
      <c r="AC1" t="str">
        <f>H13</f>
        <v>Full Adoption</v>
      </c>
      <c r="AD1" t="str">
        <f>K13</f>
        <v>Business as Usual</v>
      </c>
    </row>
    <row r="2" spans="1:30" x14ac:dyDescent="0.2">
      <c r="A2" t="s">
        <v>46</v>
      </c>
      <c r="B2" s="9">
        <v>8706</v>
      </c>
      <c r="C2" t="s">
        <v>147</v>
      </c>
      <c r="AB2">
        <v>2021</v>
      </c>
      <c r="AC2">
        <f>INDEX(H$26:H$64,MATCH($AB2,$A$26:$A$64,0))</f>
        <v>7.6923076923076927E-2</v>
      </c>
      <c r="AD2">
        <f ca="1">INDEX(K$26:K$64,MATCH($AB2,$A$26:$A$64,0))</f>
        <v>1.3382187695408306E-2</v>
      </c>
    </row>
    <row r="3" spans="1:30" x14ac:dyDescent="0.2">
      <c r="A3" t="s">
        <v>38</v>
      </c>
      <c r="B3" s="8">
        <f>B1/B2</f>
        <v>816907.87962324836</v>
      </c>
      <c r="C3" t="s">
        <v>47</v>
      </c>
      <c r="AB3">
        <v>2029</v>
      </c>
      <c r="AC3">
        <f>INDEX(H$26:H$64,MATCH($AB3,$A$26:$A$64,0))</f>
        <v>0.38461538461538464</v>
      </c>
      <c r="AD3">
        <f ca="1">INDEX(K$26:K$64,MATCH($AB3,$A$26:$A$64,0))</f>
        <v>2.4640840512343928E-2</v>
      </c>
    </row>
    <row r="4" spans="1:30" x14ac:dyDescent="0.2">
      <c r="A4" t="s">
        <v>48</v>
      </c>
      <c r="B4" s="7">
        <v>378</v>
      </c>
      <c r="C4" t="s">
        <v>147</v>
      </c>
      <c r="AB4">
        <v>2037</v>
      </c>
      <c r="AC4">
        <f>INDEX(H$26:H$64,MATCH($AB4,$A$26:$A$64,0))</f>
        <v>0.69230769230769229</v>
      </c>
      <c r="AD4">
        <f ca="1">INDEX(K$26:K$64,MATCH($AB4,$A$26:$A$64,0))</f>
        <v>3.5899493329279553E-2</v>
      </c>
    </row>
    <row r="5" spans="1:30" x14ac:dyDescent="0.2">
      <c r="AB5">
        <v>2045</v>
      </c>
      <c r="AC5">
        <f>INDEX(H$26:H$64,MATCH($AB5,$A$26:$A$64,0))</f>
        <v>1</v>
      </c>
      <c r="AD5">
        <f ca="1">INDEX(K$26:K$64,MATCH($AB5,$A$26:$A$64,0))</f>
        <v>4.715814614621517E-2</v>
      </c>
    </row>
    <row r="6" spans="1:30" x14ac:dyDescent="0.2">
      <c r="A6" t="s">
        <v>62</v>
      </c>
    </row>
    <row r="7" spans="1:30" x14ac:dyDescent="0.2">
      <c r="A7" t="s">
        <v>44</v>
      </c>
      <c r="B7" s="8">
        <f>'HECO 2013'!B28</f>
        <v>637</v>
      </c>
      <c r="C7" s="8">
        <f>'HECO 2013'!C28</f>
        <v>319</v>
      </c>
      <c r="D7" s="8">
        <f>'HECO 2013'!D28</f>
        <v>159</v>
      </c>
      <c r="E7" s="8">
        <f>'HECO 2013'!E28</f>
        <v>319</v>
      </c>
      <c r="F7" s="8">
        <f>'HECO 2013'!F28</f>
        <v>482</v>
      </c>
      <c r="G7" s="8"/>
      <c r="H7">
        <v>-0.23076923076923078</v>
      </c>
      <c r="M7">
        <v>2013</v>
      </c>
      <c r="N7">
        <f>B2/B4</f>
        <v>23.031746031746032</v>
      </c>
      <c r="O7" s="7">
        <v>4</v>
      </c>
      <c r="P7" s="7">
        <v>1000</v>
      </c>
      <c r="Q7" s="10">
        <f>ROUND(B3, 0)</f>
        <v>816908</v>
      </c>
      <c r="R7" s="10">
        <f>B2</f>
        <v>8706</v>
      </c>
    </row>
    <row r="8" spans="1:30" x14ac:dyDescent="0.2">
      <c r="A8" t="s">
        <v>54</v>
      </c>
      <c r="B8">
        <f>2*B7/(AVERAGE($Q$7:$Q$8)*AVERAGE($R$7:$R$8)/AVERAGE($O$7:$O$8)/1000000)</f>
        <v>0.71653532748467053</v>
      </c>
      <c r="C8">
        <f>2*C7/(AVERAGE($Q$7:$Q$8)*AVERAGE($R$7:$R$8)/AVERAGE($O$7:$O$8)/1000000)</f>
        <v>0.35883009335574551</v>
      </c>
      <c r="D8">
        <f>2*D7/(AVERAGE($Q$7:$Q$8)*AVERAGE($R$7:$R$8)/AVERAGE($O$7:$O$8)/1000000)</f>
        <v>0.17885261706446251</v>
      </c>
      <c r="E8">
        <f>2*E7/(AVERAGE($Q$7:$Q$8)*AVERAGE($R$7:$R$8)/AVERAGE($O$7:$O$8)/1000000)</f>
        <v>0.35883009335574551</v>
      </c>
      <c r="F8">
        <f>2*F7/(AVERAGE($Q$7:$Q$8)*AVERAGE($R$7:$R$8)/AVERAGE($O$7:$O$8)/1000000)</f>
        <v>0.54218214732749015</v>
      </c>
      <c r="G8">
        <v>1.1022842067155374</v>
      </c>
      <c r="H8">
        <v>1</v>
      </c>
      <c r="M8">
        <v>2045</v>
      </c>
      <c r="N8">
        <v>50</v>
      </c>
      <c r="O8" s="7">
        <v>4</v>
      </c>
      <c r="P8" s="7">
        <v>200</v>
      </c>
      <c r="Q8" s="10">
        <f>Q7</f>
        <v>816908</v>
      </c>
      <c r="R8" s="10">
        <f>R7</f>
        <v>8706</v>
      </c>
    </row>
    <row r="9" spans="1:30" x14ac:dyDescent="0.2">
      <c r="A9" t="s">
        <v>53</v>
      </c>
      <c r="B9">
        <v>2033</v>
      </c>
      <c r="C9">
        <v>2033</v>
      </c>
      <c r="D9">
        <v>2033</v>
      </c>
      <c r="E9">
        <f>C9</f>
        <v>2033</v>
      </c>
      <c r="F9">
        <f>D9</f>
        <v>2033</v>
      </c>
      <c r="G9">
        <v>2033</v>
      </c>
      <c r="H9">
        <f t="shared" ref="H9" si="0">(H8-H7)/($M8-$M7)</f>
        <v>3.8461538461538464E-2</v>
      </c>
      <c r="M9" t="s">
        <v>42</v>
      </c>
      <c r="N9">
        <f>(N8-N7)/($M8-$M7)</f>
        <v>0.84275793650793651</v>
      </c>
      <c r="O9">
        <f t="shared" ref="O9:P9" si="1">(O8-O7)/($M8-$M7)</f>
        <v>0</v>
      </c>
      <c r="P9">
        <f t="shared" si="1"/>
        <v>-25</v>
      </c>
    </row>
    <row r="10" spans="1:30" x14ac:dyDescent="0.2">
      <c r="A10" t="s">
        <v>52</v>
      </c>
      <c r="B10">
        <v>0.19</v>
      </c>
      <c r="C10">
        <v>0.19</v>
      </c>
      <c r="D10">
        <v>0.19</v>
      </c>
      <c r="E10">
        <v>0.19</v>
      </c>
      <c r="F10">
        <v>0.19</v>
      </c>
      <c r="G10">
        <v>0.19</v>
      </c>
    </row>
    <row r="11" spans="1:30" x14ac:dyDescent="0.2">
      <c r="A11">
        <v>2033</v>
      </c>
      <c r="B11">
        <f>B$8/(1+EXP(-B$10*($A11-B$9)))</f>
        <v>0.35826766374233526</v>
      </c>
      <c r="C11">
        <f t="shared" ref="C11:G11" si="2">C$8/(1+EXP(-C$10*($A11-C$9)))</f>
        <v>0.17941504667787275</v>
      </c>
      <c r="D11">
        <f t="shared" si="2"/>
        <v>8.9426308532231255E-2</v>
      </c>
      <c r="E11">
        <f t="shared" si="2"/>
        <v>0.17941504667787275</v>
      </c>
      <c r="F11">
        <f t="shared" si="2"/>
        <v>0.27109107366374507</v>
      </c>
      <c r="G11">
        <f t="shared" si="2"/>
        <v>0.5511421033577687</v>
      </c>
    </row>
    <row r="12" spans="1:30" x14ac:dyDescent="0.2">
      <c r="A12" t="s">
        <v>39</v>
      </c>
      <c r="T12" t="s">
        <v>51</v>
      </c>
    </row>
    <row r="13" spans="1:30" x14ac:dyDescent="0.2">
      <c r="A13" t="s">
        <v>3</v>
      </c>
      <c r="B13" t="str">
        <f>'HECO 2013'!B6</f>
        <v>Blazing a Bold Frontier</v>
      </c>
      <c r="C13" t="str">
        <f>'HECO 2013'!C6</f>
        <v>Stuck in the Middle</v>
      </c>
      <c r="D13" t="str">
        <f>'HECO 2013'!D6</f>
        <v>No Burning Desire</v>
      </c>
      <c r="E13" t="str">
        <f>'HECO 2013'!E6</f>
        <v>Moved by Passion</v>
      </c>
      <c r="F13" t="str">
        <f>'HECO 2013'!F6</f>
        <v>PSIP 2016-12</v>
      </c>
      <c r="G13" t="s">
        <v>58</v>
      </c>
      <c r="H13" t="s">
        <v>37</v>
      </c>
      <c r="I13" t="s">
        <v>60</v>
      </c>
      <c r="J13" t="s">
        <v>61</v>
      </c>
      <c r="K13" t="s">
        <v>13</v>
      </c>
      <c r="L13" t="s">
        <v>308</v>
      </c>
      <c r="N13" t="s">
        <v>40</v>
      </c>
      <c r="O13" t="s">
        <v>43</v>
      </c>
      <c r="P13" t="s">
        <v>41</v>
      </c>
      <c r="Q13" t="s">
        <v>56</v>
      </c>
      <c r="R13" t="s">
        <v>57</v>
      </c>
      <c r="T13" t="str">
        <f>B13</f>
        <v>Blazing a Bold Frontier</v>
      </c>
      <c r="U13" t="str">
        <f>C13</f>
        <v>Stuck in the Middle</v>
      </c>
      <c r="V13" t="str">
        <f>D13</f>
        <v>No Burning Desire</v>
      </c>
      <c r="W13" t="str">
        <f>E13</f>
        <v>Moved by Passion</v>
      </c>
      <c r="X13" t="str">
        <f>F13</f>
        <v>PSIP 2016-12</v>
      </c>
      <c r="Y13" t="str">
        <f>G13</f>
        <v>Full Adoption - Logistic</v>
      </c>
      <c r="Z13" t="str">
        <f>H13</f>
        <v>Full Adoption</v>
      </c>
      <c r="AA13" t="str">
        <f t="shared" ref="AA13" si="3">K13</f>
        <v>Business as Usual</v>
      </c>
    </row>
    <row r="14" spans="1:30" x14ac:dyDescent="0.2">
      <c r="A14">
        <v>2000</v>
      </c>
      <c r="B14" s="7">
        <v>0</v>
      </c>
      <c r="C14" s="7">
        <v>0</v>
      </c>
      <c r="D14" s="7">
        <v>0</v>
      </c>
      <c r="E14" s="7">
        <v>0</v>
      </c>
      <c r="F14" s="7">
        <v>0</v>
      </c>
      <c r="G14" s="7">
        <v>0</v>
      </c>
      <c r="H14" s="7">
        <v>0</v>
      </c>
      <c r="I14" s="7">
        <v>0</v>
      </c>
      <c r="J14" s="7">
        <v>0</v>
      </c>
      <c r="K14" s="7">
        <v>0</v>
      </c>
      <c r="L14" s="7">
        <v>0</v>
      </c>
    </row>
    <row r="15" spans="1:30" x14ac:dyDescent="0.2">
      <c r="A15">
        <v>2001</v>
      </c>
      <c r="B15" s="7">
        <v>0</v>
      </c>
      <c r="C15" s="7">
        <v>0</v>
      </c>
      <c r="D15" s="7">
        <v>0</v>
      </c>
      <c r="E15" s="7">
        <v>0</v>
      </c>
      <c r="F15" s="7">
        <v>0</v>
      </c>
      <c r="G15" s="7">
        <v>0</v>
      </c>
      <c r="H15" s="7">
        <v>0</v>
      </c>
      <c r="I15" s="7">
        <v>0</v>
      </c>
      <c r="J15" s="7">
        <v>0</v>
      </c>
      <c r="K15" s="7">
        <v>0</v>
      </c>
      <c r="L15" s="7">
        <v>0</v>
      </c>
    </row>
    <row r="16" spans="1:30" x14ac:dyDescent="0.2">
      <c r="A16">
        <v>2002</v>
      </c>
      <c r="B16" s="7">
        <v>0</v>
      </c>
      <c r="C16" s="7">
        <v>0</v>
      </c>
      <c r="D16" s="7">
        <v>0</v>
      </c>
      <c r="E16" s="7">
        <v>0</v>
      </c>
      <c r="F16" s="7">
        <v>0</v>
      </c>
      <c r="G16" s="7">
        <v>0</v>
      </c>
      <c r="H16" s="7">
        <v>0</v>
      </c>
      <c r="I16" s="7">
        <v>0</v>
      </c>
      <c r="J16" s="7">
        <v>0</v>
      </c>
      <c r="K16" s="7">
        <v>0</v>
      </c>
      <c r="L16" s="7">
        <v>0</v>
      </c>
    </row>
    <row r="17" spans="1:27" x14ac:dyDescent="0.2">
      <c r="A17">
        <v>2003</v>
      </c>
      <c r="B17" s="7">
        <v>0</v>
      </c>
      <c r="C17" s="7">
        <v>0</v>
      </c>
      <c r="D17" s="7">
        <v>0</v>
      </c>
      <c r="E17" s="7">
        <v>0</v>
      </c>
      <c r="F17" s="7">
        <v>0</v>
      </c>
      <c r="G17" s="7">
        <v>0</v>
      </c>
      <c r="H17" s="7">
        <v>0</v>
      </c>
      <c r="I17" s="7">
        <v>0</v>
      </c>
      <c r="J17" s="7">
        <v>0</v>
      </c>
      <c r="K17" s="7">
        <v>0</v>
      </c>
      <c r="L17" s="7">
        <v>0</v>
      </c>
    </row>
    <row r="18" spans="1:27" x14ac:dyDescent="0.2">
      <c r="A18">
        <v>2004</v>
      </c>
      <c r="B18" s="7">
        <v>0</v>
      </c>
      <c r="C18" s="7">
        <v>0</v>
      </c>
      <c r="D18" s="7">
        <v>0</v>
      </c>
      <c r="E18" s="7">
        <v>0</v>
      </c>
      <c r="F18" s="7">
        <v>0</v>
      </c>
      <c r="G18" s="7">
        <v>0</v>
      </c>
      <c r="H18" s="7">
        <v>0</v>
      </c>
      <c r="I18" s="7">
        <v>0</v>
      </c>
      <c r="J18" s="7">
        <v>0</v>
      </c>
      <c r="K18" s="7">
        <v>0</v>
      </c>
      <c r="L18" s="7">
        <v>0</v>
      </c>
    </row>
    <row r="19" spans="1:27" x14ac:dyDescent="0.2">
      <c r="A19">
        <v>2005</v>
      </c>
      <c r="B19" s="7">
        <v>0</v>
      </c>
      <c r="C19" s="7">
        <v>0</v>
      </c>
      <c r="D19" s="7">
        <v>0</v>
      </c>
      <c r="E19" s="7">
        <v>0</v>
      </c>
      <c r="F19" s="7">
        <v>0</v>
      </c>
      <c r="G19" s="7">
        <v>0</v>
      </c>
      <c r="H19" s="7">
        <v>0</v>
      </c>
      <c r="I19" s="7">
        <v>0</v>
      </c>
      <c r="J19" s="7">
        <v>0</v>
      </c>
      <c r="K19" s="7">
        <v>0</v>
      </c>
      <c r="L19" s="7">
        <v>0</v>
      </c>
    </row>
    <row r="20" spans="1:27" x14ac:dyDescent="0.2">
      <c r="A20">
        <v>2006</v>
      </c>
      <c r="B20" s="7">
        <v>0</v>
      </c>
      <c r="C20" s="7">
        <v>0</v>
      </c>
      <c r="D20" s="7">
        <v>0</v>
      </c>
      <c r="E20" s="7">
        <v>0</v>
      </c>
      <c r="F20" s="7">
        <v>0</v>
      </c>
      <c r="G20" s="7">
        <v>0</v>
      </c>
      <c r="H20" s="7">
        <v>0</v>
      </c>
      <c r="I20" s="7">
        <v>0</v>
      </c>
      <c r="J20" s="7">
        <v>0</v>
      </c>
      <c r="K20" s="7">
        <v>0</v>
      </c>
      <c r="L20" s="7">
        <v>0</v>
      </c>
    </row>
    <row r="21" spans="1:27" x14ac:dyDescent="0.2">
      <c r="A21">
        <v>2007</v>
      </c>
      <c r="B21" s="7">
        <v>0</v>
      </c>
      <c r="C21" s="7">
        <v>0</v>
      </c>
      <c r="D21" s="7">
        <v>0</v>
      </c>
      <c r="E21" s="7">
        <v>0</v>
      </c>
      <c r="F21" s="7">
        <v>0</v>
      </c>
      <c r="G21" s="7">
        <v>0</v>
      </c>
      <c r="H21" s="7">
        <v>0</v>
      </c>
      <c r="I21" s="7">
        <v>0</v>
      </c>
      <c r="J21" s="7">
        <v>0</v>
      </c>
      <c r="K21" s="7">
        <v>0</v>
      </c>
      <c r="L21" s="7">
        <v>0</v>
      </c>
    </row>
    <row r="22" spans="1:27" x14ac:dyDescent="0.2">
      <c r="A22">
        <v>2008</v>
      </c>
      <c r="B22" s="7">
        <v>0</v>
      </c>
      <c r="C22" s="7">
        <v>0</v>
      </c>
      <c r="D22" s="7">
        <v>0</v>
      </c>
      <c r="E22" s="7">
        <v>0</v>
      </c>
      <c r="F22" s="7">
        <v>0</v>
      </c>
      <c r="G22" s="7">
        <v>0</v>
      </c>
      <c r="H22" s="7">
        <v>0</v>
      </c>
      <c r="I22" s="7">
        <v>0</v>
      </c>
      <c r="J22" s="7">
        <v>0</v>
      </c>
      <c r="K22" s="7">
        <v>0</v>
      </c>
      <c r="L22" s="7">
        <v>0</v>
      </c>
    </row>
    <row r="23" spans="1:27" x14ac:dyDescent="0.2">
      <c r="A23">
        <v>2009</v>
      </c>
      <c r="B23" s="7">
        <v>0</v>
      </c>
      <c r="C23" s="7">
        <v>0</v>
      </c>
      <c r="D23" s="7">
        <v>0</v>
      </c>
      <c r="E23" s="7">
        <v>0</v>
      </c>
      <c r="F23" s="7">
        <v>0</v>
      </c>
      <c r="G23" s="7">
        <v>0</v>
      </c>
      <c r="H23" s="7">
        <v>0</v>
      </c>
      <c r="I23" s="7">
        <v>0</v>
      </c>
      <c r="J23" s="7">
        <v>0</v>
      </c>
      <c r="K23" s="7">
        <v>0</v>
      </c>
      <c r="L23" s="7">
        <v>0</v>
      </c>
    </row>
    <row r="24" spans="1:27" x14ac:dyDescent="0.2">
      <c r="A24">
        <v>2010</v>
      </c>
      <c r="B24" s="7">
        <v>0</v>
      </c>
      <c r="C24" s="7">
        <v>0</v>
      </c>
      <c r="D24" s="7">
        <v>0</v>
      </c>
      <c r="E24" s="7">
        <v>0</v>
      </c>
      <c r="F24" s="7">
        <v>0</v>
      </c>
      <c r="G24" s="7">
        <v>0</v>
      </c>
      <c r="H24" s="7">
        <v>0</v>
      </c>
      <c r="I24" s="7">
        <v>0</v>
      </c>
      <c r="J24" s="7">
        <v>0</v>
      </c>
      <c r="K24" s="7">
        <v>0</v>
      </c>
      <c r="L24" s="7">
        <v>0</v>
      </c>
    </row>
    <row r="25" spans="1:27" x14ac:dyDescent="0.2">
      <c r="A25">
        <v>2011</v>
      </c>
      <c r="B25" s="7">
        <v>0</v>
      </c>
      <c r="C25" s="7">
        <v>0</v>
      </c>
      <c r="D25" s="7">
        <v>0</v>
      </c>
      <c r="E25" s="7">
        <v>0</v>
      </c>
      <c r="F25" s="7">
        <v>0</v>
      </c>
      <c r="G25" s="7">
        <v>0</v>
      </c>
      <c r="H25" s="7">
        <v>0</v>
      </c>
      <c r="I25" s="7">
        <v>0</v>
      </c>
      <c r="J25" s="7">
        <v>0</v>
      </c>
      <c r="K25" s="7">
        <v>0</v>
      </c>
      <c r="L25" s="7">
        <v>0</v>
      </c>
    </row>
    <row r="26" spans="1:27" x14ac:dyDescent="0.2">
      <c r="A26">
        <v>2012</v>
      </c>
      <c r="B26">
        <f>'HECO 2013'!B7*1000000*$O26/($Q26*$R26)</f>
        <v>2.2497184536410379E-3</v>
      </c>
      <c r="C26">
        <f>'HECO 2013'!C7*1000000*$O26/($Q26*$R26)</f>
        <v>1.1248592268205189E-3</v>
      </c>
      <c r="D26">
        <f>'HECO 2013'!D7*1000000*$O26/($Q26*$R26)</f>
        <v>5.6242961341025947E-4</v>
      </c>
      <c r="E26">
        <f>'HECO 2013'!E7*1000000*$O26/($Q26*$R26)</f>
        <v>1.1248592268205189E-3</v>
      </c>
      <c r="F26">
        <f>'HECO 2013'!F7*1000000*$O26/($Q26*$R26)</f>
        <v>2.2497184536410379E-3</v>
      </c>
      <c r="G26">
        <f t="shared" ref="G26:G64" si="4">G$8/(1+EXP(-G$10*($A26-G$9)))</f>
        <v>2.0021549756301858E-2</v>
      </c>
      <c r="H26" s="7">
        <v>0</v>
      </c>
      <c r="I26" s="7">
        <v>0</v>
      </c>
      <c r="J26">
        <f ca="1">K26</f>
        <v>1.0625510314424208E-3</v>
      </c>
      <c r="K26">
        <f ca="1">'BAU adoption'!E25</f>
        <v>1.0625510314424208E-3</v>
      </c>
      <c r="L26" s="7">
        <v>0</v>
      </c>
      <c r="N26">
        <f>N$7+($A26-$M$7)*N$9</f>
        <v>22.188988095238095</v>
      </c>
      <c r="O26">
        <f>O$7+($A26-$M$7)*O$9</f>
        <v>4</v>
      </c>
      <c r="P26">
        <f>P$7+($A26-$M$7)*P$9</f>
        <v>1025</v>
      </c>
      <c r="Q26">
        <f>Q$7+($A26-$M$7)*Q$9</f>
        <v>816908</v>
      </c>
      <c r="R26">
        <f>R$7+($A26-$M$7)*R$9</f>
        <v>8706</v>
      </c>
      <c r="T26">
        <f>B26*$Q26*$R26/$O26/1000000</f>
        <v>4</v>
      </c>
      <c r="U26">
        <f>C26*$Q26*$R26/$O26/1000000</f>
        <v>2</v>
      </c>
      <c r="V26">
        <f>D26*$Q26*$R26/$O26/1000000</f>
        <v>1</v>
      </c>
      <c r="W26">
        <f>E26*$Q26*$R26/$O26/1000000</f>
        <v>2</v>
      </c>
      <c r="X26">
        <f>F26*$Q26*$R26/$O26/1000000</f>
        <v>4</v>
      </c>
      <c r="Y26">
        <f>G26*$Q26*$R26/$O26/1000000</f>
        <v>35.598320712350741</v>
      </c>
      <c r="Z26">
        <f>H26*$Q26*$R26/$O26/1000000</f>
        <v>0</v>
      </c>
      <c r="AA26">
        <f ca="1">K26*$Q26*$R26/$O26/1000000</f>
        <v>1.8892160122929944</v>
      </c>
    </row>
    <row r="27" spans="1:27" x14ac:dyDescent="0.2">
      <c r="A27">
        <v>2013</v>
      </c>
      <c r="B27">
        <f>'HECO 2013'!B8*1000000*$O27/($Q27*$R27)</f>
        <v>3.937007293871816E-3</v>
      </c>
      <c r="C27">
        <f>'HECO 2013'!C8*1000000*$O27/($Q27*$R27)</f>
        <v>2.2497184536410379E-3</v>
      </c>
      <c r="D27">
        <f>'HECO 2013'!D8*1000000*$O27/($Q27*$R27)</f>
        <v>1.1248592268205189E-3</v>
      </c>
      <c r="E27">
        <f>'HECO 2013'!E8*1000000*$O27/($Q27*$R27)</f>
        <v>2.2497184536410379E-3</v>
      </c>
      <c r="F27">
        <f>'HECO 2013'!F8*1000000*$O27/($Q27*$R27)</f>
        <v>3.937007293871816E-3</v>
      </c>
      <c r="G27">
        <f t="shared" si="4"/>
        <v>2.4119379375760329E-2</v>
      </c>
      <c r="H27" s="7">
        <v>0</v>
      </c>
      <c r="I27" s="7">
        <v>0</v>
      </c>
      <c r="J27">
        <f t="shared" ref="J27:J30" ca="1" si="5">K27</f>
        <v>2.0483100266891507E-3</v>
      </c>
      <c r="K27">
        <f ca="1">'BAU adoption'!E26</f>
        <v>2.0483100266891507E-3</v>
      </c>
      <c r="L27" s="7">
        <v>0</v>
      </c>
      <c r="N27">
        <f>N$7+($A27-$M$7)*N$9</f>
        <v>23.031746031746032</v>
      </c>
      <c r="O27">
        <f>O$7+($A27-$M$7)*O$9</f>
        <v>4</v>
      </c>
      <c r="P27">
        <f>P$7+($A27-$M$7)*P$9</f>
        <v>1000</v>
      </c>
      <c r="Q27">
        <f>Q$7+($A27-$M$7)*Q$9</f>
        <v>816908</v>
      </c>
      <c r="R27">
        <f>R$7+($A27-$M$7)*R$9</f>
        <v>8706</v>
      </c>
      <c r="T27">
        <f t="shared" ref="T27:T64" si="6">B27*$Q27*$R27/$O27/1000000</f>
        <v>7</v>
      </c>
      <c r="U27">
        <f t="shared" ref="U27:U64" si="7">C27*$Q27*$R27/$O27/1000000</f>
        <v>4</v>
      </c>
      <c r="V27">
        <f t="shared" ref="V27:V64" si="8">D27*$Q27*$R27/$O27/1000000</f>
        <v>2</v>
      </c>
      <c r="W27">
        <f t="shared" ref="W27:W64" si="9">E27*$Q27*$R27/$O27/1000000</f>
        <v>4</v>
      </c>
      <c r="X27">
        <f t="shared" ref="X27:X64" si="10">F27*$Q27*$R27/$O27/1000000</f>
        <v>7</v>
      </c>
      <c r="Y27">
        <f t="shared" ref="Y27:Y64" si="11">G27*$Q27*$R27/$O27/1000000</f>
        <v>42.884262849379255</v>
      </c>
      <c r="Z27">
        <f t="shared" ref="Z27:Z64" si="12">H27*$Q27*$R27/$O27/1000000</f>
        <v>0</v>
      </c>
      <c r="AA27">
        <f t="shared" ref="AA27:AA64" ca="1" si="13">K27*$Q27*$R27/$O27/1000000</f>
        <v>3.6418957641105369</v>
      </c>
    </row>
    <row r="28" spans="1:27" x14ac:dyDescent="0.2">
      <c r="A28">
        <v>2014</v>
      </c>
      <c r="B28">
        <f>'HECO 2013'!B9*1000000*$O28/($Q28*$R28)</f>
        <v>6.7491553609231132E-3</v>
      </c>
      <c r="C28">
        <f>'HECO 2013'!C9*1000000*$O28/($Q28*$R28)</f>
        <v>3.3745776804615566E-3</v>
      </c>
      <c r="D28">
        <f>'HECO 2013'!D9*1000000*$O28/($Q28*$R28)</f>
        <v>1.6872888402307783E-3</v>
      </c>
      <c r="E28">
        <f>'HECO 2013'!E9*1000000*$O28/($Q28*$R28)</f>
        <v>3.3745776804615566E-3</v>
      </c>
      <c r="F28">
        <f>'HECO 2013'!F9*1000000*$O28/($Q28*$R28)</f>
        <v>6.7491553609231132E-3</v>
      </c>
      <c r="G28">
        <f t="shared" si="4"/>
        <v>2.9033416038582484E-2</v>
      </c>
      <c r="H28" s="7">
        <v>0</v>
      </c>
      <c r="I28" s="7">
        <v>0</v>
      </c>
      <c r="J28">
        <f t="shared" ca="1" si="5"/>
        <v>3.1375031931382396E-3</v>
      </c>
      <c r="K28">
        <f ca="1">'BAU adoption'!E27</f>
        <v>3.1375031931382396E-3</v>
      </c>
      <c r="L28" s="7">
        <v>0</v>
      </c>
      <c r="N28">
        <f>N$7+($A28-$M$7)*N$9</f>
        <v>23.874503968253968</v>
      </c>
      <c r="O28">
        <f>O$7+($A28-$M$7)*O$9</f>
        <v>4</v>
      </c>
      <c r="P28">
        <f>P$7+($A28-$M$7)*P$9</f>
        <v>975</v>
      </c>
      <c r="Q28">
        <f>Q$7+($A28-$M$7)*Q$9</f>
        <v>816908</v>
      </c>
      <c r="R28">
        <f>R$7+($A28-$M$7)*R$9</f>
        <v>8706</v>
      </c>
      <c r="T28">
        <f t="shared" si="6"/>
        <v>12</v>
      </c>
      <c r="U28">
        <f t="shared" si="7"/>
        <v>6</v>
      </c>
      <c r="V28">
        <f t="shared" si="8"/>
        <v>3</v>
      </c>
      <c r="W28">
        <f t="shared" si="9"/>
        <v>6</v>
      </c>
      <c r="X28">
        <f t="shared" si="10"/>
        <v>12</v>
      </c>
      <c r="Y28">
        <f t="shared" si="11"/>
        <v>51.62142132335466</v>
      </c>
      <c r="Z28">
        <f t="shared" si="12"/>
        <v>0</v>
      </c>
      <c r="AA28">
        <f t="shared" ca="1" si="13"/>
        <v>5.5784814994256262</v>
      </c>
    </row>
    <row r="29" spans="1:27" x14ac:dyDescent="0.2">
      <c r="A29">
        <v>2015</v>
      </c>
      <c r="B29">
        <f>'HECO 2013'!B10*1000000*$O29/($Q29*$R29)</f>
        <v>9.5613034279744113E-3</v>
      </c>
      <c r="C29">
        <f>'HECO 2013'!C10*1000000*$O29/($Q29*$R29)</f>
        <v>5.0618665206923347E-3</v>
      </c>
      <c r="D29">
        <f>'HECO 2013'!D10*1000000*$O29/($Q29*$R29)</f>
        <v>2.2497184536410379E-3</v>
      </c>
      <c r="E29">
        <f>'HECO 2013'!E10*1000000*$O29/($Q29*$R29)</f>
        <v>5.0618665206923347E-3</v>
      </c>
      <c r="F29">
        <f>'HECO 2013'!F10*1000000*$O29/($Q29*$R29)</f>
        <v>9.5613034279744113E-3</v>
      </c>
      <c r="G29">
        <f t="shared" si="4"/>
        <v>3.4916206270548374E-2</v>
      </c>
      <c r="H29" s="7">
        <v>0</v>
      </c>
      <c r="I29" s="7">
        <v>0</v>
      </c>
      <c r="J29">
        <f t="shared" ca="1" si="5"/>
        <v>4.2000542245806604E-3</v>
      </c>
      <c r="K29">
        <f ca="1">'BAU adoption'!E28</f>
        <v>4.2000542245806604E-3</v>
      </c>
      <c r="L29" s="7">
        <v>0</v>
      </c>
      <c r="N29">
        <f>N$7+($A29-$M$7)*N$9</f>
        <v>24.717261904761905</v>
      </c>
      <c r="O29">
        <f>O$7+($A29-$M$7)*O$9</f>
        <v>4</v>
      </c>
      <c r="P29">
        <f>P$7+($A29-$M$7)*P$9</f>
        <v>950</v>
      </c>
      <c r="Q29">
        <f>Q$7+($A29-$M$7)*Q$9</f>
        <v>816908</v>
      </c>
      <c r="R29">
        <f>R$7+($A29-$M$7)*R$9</f>
        <v>8706</v>
      </c>
      <c r="T29">
        <f t="shared" si="6"/>
        <v>17</v>
      </c>
      <c r="U29">
        <f t="shared" si="7"/>
        <v>9</v>
      </c>
      <c r="V29">
        <f t="shared" si="8"/>
        <v>4</v>
      </c>
      <c r="W29">
        <f t="shared" si="9"/>
        <v>9</v>
      </c>
      <c r="X29">
        <f t="shared" si="10"/>
        <v>17</v>
      </c>
      <c r="Y29">
        <f t="shared" si="11"/>
        <v>62.081023897081053</v>
      </c>
      <c r="Z29">
        <f t="shared" si="12"/>
        <v>0</v>
      </c>
      <c r="AA29">
        <f t="shared" ca="1" si="13"/>
        <v>7.4676975117186206</v>
      </c>
    </row>
    <row r="30" spans="1:27" x14ac:dyDescent="0.2">
      <c r="A30">
        <v>2016</v>
      </c>
      <c r="B30">
        <f>'HECO 2013'!B11*1000000*$O30/($Q30*$R30)</f>
        <v>1.5185599562077006E-2</v>
      </c>
      <c r="C30">
        <f>'HECO 2013'!C11*1000000*$O30/($Q30*$R30)</f>
        <v>7.311584974333373E-3</v>
      </c>
      <c r="D30">
        <f>'HECO 2013'!D11*1000000*$O30/($Q30*$R30)</f>
        <v>3.937007293871816E-3</v>
      </c>
      <c r="E30">
        <f>'HECO 2013'!E11*1000000*$O30/($Q30*$R30)</f>
        <v>7.311584974333373E-3</v>
      </c>
      <c r="F30">
        <f>'HECO 2013'!F11*1000000*$O30/($Q30*$R30)</f>
        <v>1.7435318015718043E-2</v>
      </c>
      <c r="G30">
        <f t="shared" si="4"/>
        <v>4.1944390976392167E-2</v>
      </c>
      <c r="H30" s="7">
        <v>0</v>
      </c>
      <c r="I30" s="7">
        <v>0</v>
      </c>
      <c r="J30">
        <f t="shared" ca="1" si="5"/>
        <v>5.4083534063536793E-3</v>
      </c>
      <c r="K30">
        <f ca="1">'BAU adoption'!E29</f>
        <v>5.4083534063536793E-3</v>
      </c>
      <c r="L30" s="7">
        <v>0</v>
      </c>
      <c r="N30">
        <f>N$7+($A30-$M$7)*N$9</f>
        <v>25.560019841269842</v>
      </c>
      <c r="O30">
        <f>O$7+($A30-$M$7)*O$9</f>
        <v>4</v>
      </c>
      <c r="P30">
        <f>P$7+($A30-$M$7)*P$9</f>
        <v>925</v>
      </c>
      <c r="Q30">
        <f>Q$7+($A30-$M$7)*Q$9</f>
        <v>816908</v>
      </c>
      <c r="R30">
        <f>R$7+($A30-$M$7)*R$9</f>
        <v>8706</v>
      </c>
      <c r="T30">
        <f t="shared" si="6"/>
        <v>27</v>
      </c>
      <c r="U30">
        <f t="shared" si="7"/>
        <v>13</v>
      </c>
      <c r="V30">
        <f t="shared" si="8"/>
        <v>7</v>
      </c>
      <c r="W30">
        <f t="shared" si="9"/>
        <v>13</v>
      </c>
      <c r="X30">
        <f t="shared" si="10"/>
        <v>31</v>
      </c>
      <c r="Y30">
        <f t="shared" si="11"/>
        <v>74.577138145455706</v>
      </c>
      <c r="Z30">
        <f t="shared" si="12"/>
        <v>0</v>
      </c>
      <c r="AA30">
        <f t="shared" ca="1" si="13"/>
        <v>9.6160537734854348</v>
      </c>
    </row>
    <row r="31" spans="1:27" x14ac:dyDescent="0.2">
      <c r="A31">
        <v>2017</v>
      </c>
      <c r="B31">
        <f>'HECO 2013'!B12*1000000*$O31/($Q31*$R31)</f>
        <v>2.1934754923000118E-2</v>
      </c>
      <c r="C31">
        <f>'HECO 2013'!C12*1000000*$O31/($Q31*$R31)</f>
        <v>1.1248592268205189E-2</v>
      </c>
      <c r="D31">
        <f>'HECO 2013'!D12*1000000*$O31/($Q31*$R31)</f>
        <v>5.6242961341025945E-3</v>
      </c>
      <c r="E31">
        <f>'HECO 2013'!E12*1000000*$O31/($Q31*$R31)</f>
        <v>1.1248592268205189E-2</v>
      </c>
      <c r="F31">
        <f>'HECO 2013'!F12*1000000*$O31/($Q31*$R31)</f>
        <v>2.3622043763230897E-2</v>
      </c>
      <c r="G31">
        <f t="shared" si="4"/>
        <v>5.0320564573766068E-2</v>
      </c>
      <c r="H31" s="7">
        <v>0</v>
      </c>
      <c r="I31" s="7">
        <v>0</v>
      </c>
      <c r="J31" s="10">
        <f ca="1">J30</f>
        <v>5.4083534063536793E-3</v>
      </c>
      <c r="K31">
        <f ca="1">'BAU adoption'!E30</f>
        <v>7.4739024615765558E-3</v>
      </c>
      <c r="L31" s="7">
        <v>0</v>
      </c>
      <c r="N31">
        <f>N$7+($A31-$M$7)*N$9</f>
        <v>26.402777777777779</v>
      </c>
      <c r="O31">
        <f>O$7+($A31-$M$7)*O$9</f>
        <v>4</v>
      </c>
      <c r="P31">
        <f>P$7+($A31-$M$7)*P$9</f>
        <v>900</v>
      </c>
      <c r="Q31">
        <f>Q$7+($A31-$M$7)*Q$9</f>
        <v>816908</v>
      </c>
      <c r="R31">
        <f>R$7+($A31-$M$7)*R$9</f>
        <v>8706</v>
      </c>
      <c r="T31">
        <f t="shared" si="6"/>
        <v>39</v>
      </c>
      <c r="U31">
        <f t="shared" si="7"/>
        <v>20</v>
      </c>
      <c r="V31">
        <f t="shared" si="8"/>
        <v>10</v>
      </c>
      <c r="W31">
        <f t="shared" si="9"/>
        <v>20</v>
      </c>
      <c r="X31">
        <f t="shared" si="10"/>
        <v>42</v>
      </c>
      <c r="Y31">
        <f t="shared" si="11"/>
        <v>89.469976996143984</v>
      </c>
      <c r="Z31">
        <f t="shared" si="12"/>
        <v>0</v>
      </c>
      <c r="AA31">
        <f t="shared" ca="1" si="13"/>
        <v>13.28860053484556</v>
      </c>
    </row>
    <row r="32" spans="1:27" x14ac:dyDescent="0.2">
      <c r="A32">
        <v>2018</v>
      </c>
      <c r="B32">
        <f>'HECO 2013'!B13*1000000*$O32/($Q32*$R32)</f>
        <v>3.0371199124154011E-2</v>
      </c>
      <c r="C32">
        <f>'HECO 2013'!C13*1000000*$O32/($Q32*$R32)</f>
        <v>1.5185599562077006E-2</v>
      </c>
      <c r="D32">
        <f>'HECO 2013'!D13*1000000*$O32/($Q32*$R32)</f>
        <v>7.8740145877436319E-3</v>
      </c>
      <c r="E32">
        <f>'HECO 2013'!E13*1000000*$O32/($Q32*$R32)</f>
        <v>1.5185599562077006E-2</v>
      </c>
      <c r="F32">
        <f>'HECO 2013'!F13*1000000*$O32/($Q32*$R32)</f>
        <v>3.0933628737564268E-2</v>
      </c>
      <c r="G32">
        <f t="shared" si="4"/>
        <v>6.0274352369533914E-2</v>
      </c>
      <c r="H32" s="7">
        <v>0</v>
      </c>
      <c r="I32" s="7">
        <v>0</v>
      </c>
      <c r="J32">
        <f ca="1">J31</f>
        <v>5.4083534063536793E-3</v>
      </c>
      <c r="K32">
        <f ca="1">'BAU adoption'!E31</f>
        <v>9.1601928890574485E-3</v>
      </c>
      <c r="L32" cm="1">
        <f t="array" aca="1" ref="L32:L64" ca="1">EoT!B6:B38</f>
        <v>1.12E-2</v>
      </c>
      <c r="N32">
        <f>N$7+($A32-$M$7)*N$9</f>
        <v>27.245535714285715</v>
      </c>
      <c r="O32">
        <f>O$7+($A32-$M$7)*O$9</f>
        <v>4</v>
      </c>
      <c r="P32">
        <f>P$7+($A32-$M$7)*P$9</f>
        <v>875</v>
      </c>
      <c r="Q32">
        <f>Q$7+($A32-$M$7)*Q$9</f>
        <v>816908</v>
      </c>
      <c r="R32">
        <f>R$7+($A32-$M$7)*R$9</f>
        <v>8706</v>
      </c>
      <c r="T32">
        <f t="shared" si="6"/>
        <v>54</v>
      </c>
      <c r="U32">
        <f t="shared" si="7"/>
        <v>27</v>
      </c>
      <c r="V32">
        <f t="shared" si="8"/>
        <v>14</v>
      </c>
      <c r="W32">
        <f t="shared" si="9"/>
        <v>27</v>
      </c>
      <c r="X32">
        <f t="shared" si="10"/>
        <v>54.999999999999993</v>
      </c>
      <c r="Y32">
        <f t="shared" si="11"/>
        <v>107.16781430491163</v>
      </c>
      <c r="Z32">
        <f t="shared" si="12"/>
        <v>0</v>
      </c>
      <c r="AA32">
        <f t="shared" ca="1" si="13"/>
        <v>16.286825356714679</v>
      </c>
    </row>
    <row r="33" spans="1:27" x14ac:dyDescent="0.2">
      <c r="A33">
        <v>2019</v>
      </c>
      <c r="B33">
        <f>'HECO 2013'!B14*1000000*$O33/($Q33*$R33)</f>
        <v>3.9932502552128421E-2</v>
      </c>
      <c r="C33">
        <f>'HECO 2013'!C14*1000000*$O33/($Q33*$R33)</f>
        <v>2.0247466082769339E-2</v>
      </c>
      <c r="D33">
        <f>'HECO 2013'!D14*1000000*$O33/($Q33*$R33)</f>
        <v>1.0123733041384669E-2</v>
      </c>
      <c r="E33">
        <f>'HECO 2013'!E14*1000000*$O33/($Q33*$R33)</f>
        <v>2.0247466082769339E-2</v>
      </c>
      <c r="F33">
        <f>'HECO 2013'!F14*1000000*$O33/($Q33*$R33)</f>
        <v>3.8807643325307901E-2</v>
      </c>
      <c r="G33">
        <f t="shared" si="4"/>
        <v>7.2062197543771078E-2</v>
      </c>
      <c r="H33" s="10">
        <f t="shared" ref="H33:H64" si="14">H$7+($A33-$M$7)*H$9</f>
        <v>0</v>
      </c>
      <c r="I33" s="10">
        <f t="shared" ref="I33:I64" si="15">0.5*H33</f>
        <v>0</v>
      </c>
      <c r="J33">
        <f t="shared" ref="J33:J64" ca="1" si="16">J32</f>
        <v>5.4083534063536793E-3</v>
      </c>
      <c r="K33">
        <f ca="1">'BAU adoption'!E32</f>
        <v>1.0567524491174402E-2</v>
      </c>
      <c r="L33">
        <f ca="1"/>
        <v>1.26E-2</v>
      </c>
      <c r="N33">
        <f>N$7+($A33-$M$7)*N$9</f>
        <v>28.088293650793652</v>
      </c>
      <c r="O33">
        <f>O$7+($A33-$M$7)*O$9</f>
        <v>4</v>
      </c>
      <c r="P33">
        <f>P$7+($A33-$M$7)*P$9</f>
        <v>850</v>
      </c>
      <c r="Q33">
        <f>Q$7+($A33-$M$7)*Q$9</f>
        <v>816908</v>
      </c>
      <c r="R33">
        <f>R$7+($A33-$M$7)*R$9</f>
        <v>8706</v>
      </c>
      <c r="T33">
        <f t="shared" si="6"/>
        <v>71</v>
      </c>
      <c r="U33">
        <f t="shared" si="7"/>
        <v>36</v>
      </c>
      <c r="V33">
        <f t="shared" si="8"/>
        <v>18</v>
      </c>
      <c r="W33">
        <f t="shared" si="9"/>
        <v>36</v>
      </c>
      <c r="X33">
        <f t="shared" si="10"/>
        <v>69</v>
      </c>
      <c r="Y33">
        <f t="shared" si="11"/>
        <v>128.12660611312074</v>
      </c>
      <c r="Z33">
        <f t="shared" si="12"/>
        <v>0</v>
      </c>
      <c r="AA33">
        <f t="shared" ca="1" si="13"/>
        <v>18.789061313999504</v>
      </c>
    </row>
    <row r="34" spans="1:27" x14ac:dyDescent="0.2">
      <c r="A34">
        <v>2020</v>
      </c>
      <c r="B34">
        <f>'HECO 2013'!B15*1000000*$O34/($Q34*$R34)</f>
        <v>5.1743524433743866E-2</v>
      </c>
      <c r="C34">
        <f>'HECO 2013'!C15*1000000*$O34/($Q34*$R34)</f>
        <v>2.5871762216871933E-2</v>
      </c>
      <c r="D34">
        <f>'HECO 2013'!D15*1000000*$O34/($Q34*$R34)</f>
        <v>1.2935881108435967E-2</v>
      </c>
      <c r="E34">
        <f>'HECO 2013'!E15*1000000*$O34/($Q34*$R34)</f>
        <v>2.5871762216871933E-2</v>
      </c>
      <c r="F34">
        <f>'HECO 2013'!F15*1000000*$O34/($Q34*$R34)</f>
        <v>4.8368946753282314E-2</v>
      </c>
      <c r="G34">
        <f t="shared" si="4"/>
        <v>8.5965199892718405E-2</v>
      </c>
      <c r="H34">
        <f t="shared" si="14"/>
        <v>3.8461538461538491E-2</v>
      </c>
      <c r="I34">
        <f t="shared" si="15"/>
        <v>1.9230769230769246E-2</v>
      </c>
      <c r="J34">
        <f t="shared" ca="1" si="16"/>
        <v>5.4083534063536793E-3</v>
      </c>
      <c r="K34">
        <f ca="1">'BAU adoption'!E33</f>
        <v>1.1974856093291355E-2</v>
      </c>
      <c r="L34">
        <f ca="1"/>
        <v>1.55E-2</v>
      </c>
      <c r="N34">
        <f>N$7+($A34-$M$7)*N$9</f>
        <v>28.931051587301589</v>
      </c>
      <c r="O34">
        <f>O$7+($A34-$M$7)*O$9</f>
        <v>4</v>
      </c>
      <c r="P34">
        <f>P$7+($A34-$M$7)*P$9</f>
        <v>825</v>
      </c>
      <c r="Q34">
        <f>Q$7+($A34-$M$7)*Q$9</f>
        <v>816908</v>
      </c>
      <c r="R34">
        <f>R$7+($A34-$M$7)*R$9</f>
        <v>8706</v>
      </c>
      <c r="T34">
        <f t="shared" si="6"/>
        <v>92</v>
      </c>
      <c r="U34">
        <f t="shared" si="7"/>
        <v>46</v>
      </c>
      <c r="V34">
        <f t="shared" si="8"/>
        <v>23</v>
      </c>
      <c r="W34">
        <f t="shared" si="9"/>
        <v>46</v>
      </c>
      <c r="X34">
        <f t="shared" si="10"/>
        <v>86</v>
      </c>
      <c r="Y34">
        <f t="shared" si="11"/>
        <v>152.84614793213569</v>
      </c>
      <c r="Z34">
        <f t="shared" si="12"/>
        <v>68.384625461538505</v>
      </c>
      <c r="AA34">
        <f t="shared" ca="1" si="13"/>
        <v>21.291297271284325</v>
      </c>
    </row>
    <row r="35" spans="1:27" x14ac:dyDescent="0.2">
      <c r="A35">
        <v>2021</v>
      </c>
      <c r="B35">
        <f>'HECO 2013'!B16*1000000*$O35/($Q35*$R35)</f>
        <v>6.5804264769000351E-2</v>
      </c>
      <c r="C35">
        <f>'HECO 2013'!C16*1000000*$O35/($Q35*$R35)</f>
        <v>3.2620917577795047E-2</v>
      </c>
      <c r="D35">
        <f>'HECO 2013'!D16*1000000*$O35/($Q35*$R35)</f>
        <v>1.6310458788897524E-2</v>
      </c>
      <c r="E35">
        <f>'HECO 2013'!E16*1000000*$O35/($Q35*$R35)</f>
        <v>3.2620917577795047E-2</v>
      </c>
      <c r="F35">
        <f>'HECO 2013'!F16*1000000*$O35/($Q35*$R35)</f>
        <v>5.9617539021487503E-2</v>
      </c>
      <c r="G35">
        <f t="shared" si="4"/>
        <v>0.10228420671553744</v>
      </c>
      <c r="H35">
        <f t="shared" si="14"/>
        <v>7.6923076923076927E-2</v>
      </c>
      <c r="I35">
        <f t="shared" si="15"/>
        <v>3.8461538461538464E-2</v>
      </c>
      <c r="J35">
        <f t="shared" ca="1" si="16"/>
        <v>5.4083534063536793E-3</v>
      </c>
      <c r="K35">
        <f ca="1">'BAU adoption'!E34</f>
        <v>1.3382187695408306E-2</v>
      </c>
      <c r="L35">
        <f ca="1"/>
        <v>1.84E-2</v>
      </c>
      <c r="N35">
        <f>N$7+($A35-$M$7)*N$9</f>
        <v>29.773809523809526</v>
      </c>
      <c r="O35">
        <f>O$7+($A35-$M$7)*O$9</f>
        <v>4</v>
      </c>
      <c r="P35">
        <f>P$7+($A35-$M$7)*P$9</f>
        <v>800</v>
      </c>
      <c r="Q35">
        <f>Q$7+($A35-$M$7)*Q$9</f>
        <v>816908</v>
      </c>
      <c r="R35">
        <f>R$7+($A35-$M$7)*R$9</f>
        <v>8706</v>
      </c>
      <c r="T35">
        <f t="shared" si="6"/>
        <v>116.99999999999999</v>
      </c>
      <c r="U35">
        <f t="shared" si="7"/>
        <v>58</v>
      </c>
      <c r="V35">
        <f t="shared" si="8"/>
        <v>29</v>
      </c>
      <c r="W35">
        <f t="shared" si="9"/>
        <v>58</v>
      </c>
      <c r="X35">
        <f t="shared" si="10"/>
        <v>106</v>
      </c>
      <c r="Y35">
        <f t="shared" si="11"/>
        <v>181.86134633868772</v>
      </c>
      <c r="Z35">
        <f t="shared" si="12"/>
        <v>136.76925092307692</v>
      </c>
      <c r="AA35">
        <f t="shared" ca="1" si="13"/>
        <v>23.793533228569142</v>
      </c>
    </row>
    <row r="36" spans="1:27" x14ac:dyDescent="0.2">
      <c r="A36">
        <v>2022</v>
      </c>
      <c r="B36">
        <f>'HECO 2013'!B17*1000000*$O36/($Q36*$R36)</f>
        <v>8.1552293944487625E-2</v>
      </c>
      <c r="C36">
        <f>'HECO 2013'!C17*1000000*$O36/($Q36*$R36)</f>
        <v>4.0494932165538677E-2</v>
      </c>
      <c r="D36">
        <f>'HECO 2013'!D17*1000000*$O36/($Q36*$R36)</f>
        <v>2.0247466082769339E-2</v>
      </c>
      <c r="E36">
        <f>'HECO 2013'!E17*1000000*$O36/($Q36*$R36)</f>
        <v>4.0494932165538677E-2</v>
      </c>
      <c r="F36">
        <f>'HECO 2013'!F17*1000000*$O36/($Q36*$R36)</f>
        <v>7.2553420129923468E-2</v>
      </c>
      <c r="G36">
        <f t="shared" si="4"/>
        <v>0.12133126031230865</v>
      </c>
      <c r="H36">
        <f t="shared" si="14"/>
        <v>0.11538461538461536</v>
      </c>
      <c r="I36">
        <f t="shared" si="15"/>
        <v>5.7692307692307682E-2</v>
      </c>
      <c r="J36">
        <f t="shared" ca="1" si="16"/>
        <v>5.4083534063536793E-3</v>
      </c>
      <c r="K36">
        <f ca="1">'BAU adoption'!E35</f>
        <v>1.4789519297525259E-2</v>
      </c>
      <c r="L36">
        <f ca="1"/>
        <v>2.1499999999999998E-2</v>
      </c>
      <c r="N36">
        <f t="shared" ref="N36:R45" si="17">N$7+($A36-$M$7)*N$9</f>
        <v>30.616567460317462</v>
      </c>
      <c r="O36">
        <f t="shared" si="17"/>
        <v>4</v>
      </c>
      <c r="P36">
        <f t="shared" si="17"/>
        <v>775</v>
      </c>
      <c r="Q36">
        <f t="shared" si="17"/>
        <v>816908</v>
      </c>
      <c r="R36">
        <f t="shared" si="17"/>
        <v>8706</v>
      </c>
      <c r="T36">
        <f t="shared" si="6"/>
        <v>145</v>
      </c>
      <c r="U36">
        <f t="shared" si="7"/>
        <v>72</v>
      </c>
      <c r="V36">
        <f t="shared" si="8"/>
        <v>36</v>
      </c>
      <c r="W36">
        <f t="shared" si="9"/>
        <v>72</v>
      </c>
      <c r="X36">
        <f t="shared" si="10"/>
        <v>129</v>
      </c>
      <c r="Y36">
        <f t="shared" si="11"/>
        <v>215.727012624075</v>
      </c>
      <c r="Z36">
        <f t="shared" si="12"/>
        <v>205.15387638461533</v>
      </c>
      <c r="AA36">
        <f t="shared" ca="1" si="13"/>
        <v>26.295769185853967</v>
      </c>
    </row>
    <row r="37" spans="1:27" x14ac:dyDescent="0.2">
      <c r="A37">
        <v>2023</v>
      </c>
      <c r="B37">
        <f>'HECO 2013'!B18*1000000*$O37/($Q37*$R37)</f>
        <v>9.8987611960205668E-2</v>
      </c>
      <c r="C37">
        <f>'HECO 2013'!C18*1000000*$O37/($Q37*$R37)</f>
        <v>4.9493805980102834E-2</v>
      </c>
      <c r="D37">
        <f>'HECO 2013'!D18*1000000*$O37/($Q37*$R37)</f>
        <v>2.4746902990051417E-2</v>
      </c>
      <c r="E37">
        <f>'HECO 2013'!E18*1000000*$O37/($Q37*$R37)</f>
        <v>4.9493805980102834E-2</v>
      </c>
      <c r="F37">
        <f>'HECO 2013'!F18*1000000*$O37/($Q37*$R37)</f>
        <v>8.6051730851769689E-2</v>
      </c>
      <c r="G37">
        <f t="shared" si="4"/>
        <v>0.14341651645018594</v>
      </c>
      <c r="H37">
        <f t="shared" si="14"/>
        <v>0.15384615384615385</v>
      </c>
      <c r="I37">
        <f t="shared" si="15"/>
        <v>7.6923076923076927E-2</v>
      </c>
      <c r="J37">
        <f t="shared" ca="1" si="16"/>
        <v>5.4083534063536793E-3</v>
      </c>
      <c r="K37">
        <f ca="1">'BAU adoption'!E36</f>
        <v>1.619685089964221E-2</v>
      </c>
      <c r="L37">
        <f ca="1"/>
        <v>2.64E-2</v>
      </c>
      <c r="N37">
        <f t="shared" si="17"/>
        <v>31.459325396825399</v>
      </c>
      <c r="O37">
        <f t="shared" si="17"/>
        <v>4</v>
      </c>
      <c r="P37">
        <f t="shared" si="17"/>
        <v>750</v>
      </c>
      <c r="Q37">
        <f t="shared" si="17"/>
        <v>816908</v>
      </c>
      <c r="R37">
        <f t="shared" si="17"/>
        <v>8706</v>
      </c>
      <c r="T37">
        <f t="shared" si="6"/>
        <v>176</v>
      </c>
      <c r="U37">
        <f t="shared" si="7"/>
        <v>88</v>
      </c>
      <c r="V37">
        <f t="shared" si="8"/>
        <v>44</v>
      </c>
      <c r="W37">
        <f t="shared" si="9"/>
        <v>88</v>
      </c>
      <c r="X37">
        <f t="shared" si="10"/>
        <v>153</v>
      </c>
      <c r="Y37">
        <f t="shared" si="11"/>
        <v>254.99460382355792</v>
      </c>
      <c r="Z37">
        <f t="shared" si="12"/>
        <v>273.53850184615385</v>
      </c>
      <c r="AA37">
        <f t="shared" ca="1" si="13"/>
        <v>28.798005143138784</v>
      </c>
    </row>
    <row r="38" spans="1:27" x14ac:dyDescent="0.2">
      <c r="A38">
        <v>2024</v>
      </c>
      <c r="B38">
        <f>'HECO 2013'!B19*1000000*$O38/($Q38*$R38)</f>
        <v>0.11867264842956474</v>
      </c>
      <c r="C38">
        <f>'HECO 2013'!C19*1000000*$O38/($Q38*$R38)</f>
        <v>5.905510940807724E-2</v>
      </c>
      <c r="D38">
        <f>'HECO 2013'!D19*1000000*$O38/($Q38*$R38)</f>
        <v>2.9808769510743752E-2</v>
      </c>
      <c r="E38">
        <f>'HECO 2013'!E19*1000000*$O38/($Q38*$R38)</f>
        <v>5.905510940807724E-2</v>
      </c>
      <c r="F38">
        <f>'HECO 2013'!F19*1000000*$O38/($Q38*$R38)</f>
        <v>0.10067490080043644</v>
      </c>
      <c r="G38">
        <f t="shared" si="4"/>
        <v>0.16882994492972206</v>
      </c>
      <c r="H38">
        <f t="shared" si="14"/>
        <v>0.19230769230769235</v>
      </c>
      <c r="I38">
        <f t="shared" si="15"/>
        <v>9.6153846153846173E-2</v>
      </c>
      <c r="J38">
        <f t="shared" ca="1" si="16"/>
        <v>5.4083534063536793E-3</v>
      </c>
      <c r="K38">
        <f ca="1">'BAU adoption'!E37</f>
        <v>1.7604182501759165E-2</v>
      </c>
      <c r="L38">
        <f ca="1"/>
        <v>3.15E-2</v>
      </c>
      <c r="N38">
        <f t="shared" si="17"/>
        <v>32.302083333333336</v>
      </c>
      <c r="O38">
        <f t="shared" si="17"/>
        <v>4</v>
      </c>
      <c r="P38">
        <f t="shared" si="17"/>
        <v>725</v>
      </c>
      <c r="Q38">
        <f t="shared" si="17"/>
        <v>816908</v>
      </c>
      <c r="R38">
        <f t="shared" si="17"/>
        <v>8706</v>
      </c>
      <c r="T38">
        <f t="shared" si="6"/>
        <v>210.99999999999997</v>
      </c>
      <c r="U38">
        <f t="shared" si="7"/>
        <v>105</v>
      </c>
      <c r="V38">
        <f t="shared" si="8"/>
        <v>53</v>
      </c>
      <c r="W38">
        <f t="shared" si="9"/>
        <v>105</v>
      </c>
      <c r="X38">
        <f t="shared" si="10"/>
        <v>179</v>
      </c>
      <c r="Y38">
        <f t="shared" si="11"/>
        <v>300.17968631849141</v>
      </c>
      <c r="Z38">
        <f t="shared" si="12"/>
        <v>341.92312730769243</v>
      </c>
      <c r="AA38">
        <f t="shared" ca="1" si="13"/>
        <v>31.300241100423612</v>
      </c>
    </row>
    <row r="39" spans="1:27" x14ac:dyDescent="0.2">
      <c r="A39">
        <v>2025</v>
      </c>
      <c r="B39">
        <f>'HECO 2013'!B20*1000000*$O39/($Q39*$R39)</f>
        <v>0.13948254412574435</v>
      </c>
      <c r="C39">
        <f>'HECO 2013'!C20*1000000*$O39/($Q39*$R39)</f>
        <v>6.9741272062872173E-2</v>
      </c>
      <c r="D39">
        <f>'HECO 2013'!D20*1000000*$O39/($Q39*$R39)</f>
        <v>3.4870636031436086E-2</v>
      </c>
      <c r="E39">
        <f>'HECO 2013'!E20*1000000*$O39/($Q39*$R39)</f>
        <v>6.9741272062872173E-2</v>
      </c>
      <c r="F39">
        <f>'HECO 2013'!F20*1000000*$O39/($Q39*$R39)</f>
        <v>0.1164229299759237</v>
      </c>
      <c r="G39">
        <f t="shared" si="4"/>
        <v>0.19781759855587025</v>
      </c>
      <c r="H39">
        <f t="shared" si="14"/>
        <v>0.23076923076923078</v>
      </c>
      <c r="I39">
        <f t="shared" si="15"/>
        <v>0.11538461538461539</v>
      </c>
      <c r="J39">
        <f t="shared" ca="1" si="16"/>
        <v>5.4083534063536793E-3</v>
      </c>
      <c r="K39">
        <f ca="1">'BAU adoption'!E38</f>
        <v>1.9011514103876116E-2</v>
      </c>
      <c r="L39">
        <f ca="1"/>
        <v>3.7999999999999999E-2</v>
      </c>
      <c r="N39">
        <f t="shared" si="17"/>
        <v>33.144841269841265</v>
      </c>
      <c r="O39">
        <f t="shared" si="17"/>
        <v>4</v>
      </c>
      <c r="P39">
        <f t="shared" si="17"/>
        <v>700</v>
      </c>
      <c r="Q39">
        <f t="shared" si="17"/>
        <v>816908</v>
      </c>
      <c r="R39">
        <f t="shared" si="17"/>
        <v>8706</v>
      </c>
      <c r="T39">
        <f t="shared" si="6"/>
        <v>248</v>
      </c>
      <c r="U39">
        <f t="shared" si="7"/>
        <v>124</v>
      </c>
      <c r="V39">
        <f t="shared" si="8"/>
        <v>62</v>
      </c>
      <c r="W39">
        <f t="shared" si="9"/>
        <v>124</v>
      </c>
      <c r="X39">
        <f t="shared" si="10"/>
        <v>206.99999999999997</v>
      </c>
      <c r="Y39">
        <f t="shared" si="11"/>
        <v>351.71974206054813</v>
      </c>
      <c r="Z39">
        <f t="shared" si="12"/>
        <v>410.30775276923077</v>
      </c>
      <c r="AA39">
        <f t="shared" ca="1" si="13"/>
        <v>33.80247705770843</v>
      </c>
    </row>
    <row r="40" spans="1:27" x14ac:dyDescent="0.2">
      <c r="A40">
        <v>2026</v>
      </c>
      <c r="B40">
        <f>'HECO 2013'!B21*1000000*$O40/($Q40*$R40)</f>
        <v>0.16310458788897525</v>
      </c>
      <c r="C40">
        <f>'HECO 2013'!C21*1000000*$O40/($Q40*$R40)</f>
        <v>8.1552293944487625E-2</v>
      </c>
      <c r="D40">
        <f>'HECO 2013'!D21*1000000*$O40/($Q40*$R40)</f>
        <v>4.1057361778948941E-2</v>
      </c>
      <c r="E40">
        <f>'HECO 2013'!E21*1000000*$O40/($Q40*$R40)</f>
        <v>8.1552293944487625E-2</v>
      </c>
      <c r="F40">
        <f>'HECO 2013'!F21*1000000*$O40/($Q40*$R40)</f>
        <v>0.13273338876482124</v>
      </c>
      <c r="G40">
        <f t="shared" si="4"/>
        <v>0.23055306496100686</v>
      </c>
      <c r="H40">
        <f t="shared" si="14"/>
        <v>0.26923076923076922</v>
      </c>
      <c r="I40">
        <f t="shared" si="15"/>
        <v>0.13461538461538461</v>
      </c>
      <c r="J40">
        <f t="shared" ca="1" si="16"/>
        <v>5.4083534063536793E-3</v>
      </c>
      <c r="K40">
        <f ca="1">'BAU adoption'!E39</f>
        <v>2.0418845705993071E-2</v>
      </c>
      <c r="L40">
        <f ca="1"/>
        <v>4.4999999999999998E-2</v>
      </c>
      <c r="N40">
        <f t="shared" si="17"/>
        <v>33.987599206349202</v>
      </c>
      <c r="O40">
        <f t="shared" si="17"/>
        <v>4</v>
      </c>
      <c r="P40">
        <f t="shared" si="17"/>
        <v>675</v>
      </c>
      <c r="Q40">
        <f t="shared" si="17"/>
        <v>816908</v>
      </c>
      <c r="R40">
        <f t="shared" si="17"/>
        <v>8706</v>
      </c>
      <c r="T40">
        <f t="shared" si="6"/>
        <v>290</v>
      </c>
      <c r="U40">
        <f t="shared" si="7"/>
        <v>145</v>
      </c>
      <c r="V40">
        <f t="shared" si="8"/>
        <v>73</v>
      </c>
      <c r="W40">
        <f t="shared" si="9"/>
        <v>145</v>
      </c>
      <c r="X40">
        <f t="shared" si="10"/>
        <v>236.00000000000003</v>
      </c>
      <c r="Y40">
        <f t="shared" si="11"/>
        <v>409.92340990557318</v>
      </c>
      <c r="Z40">
        <f t="shared" si="12"/>
        <v>478.69237823076924</v>
      </c>
      <c r="AA40">
        <f t="shared" ca="1" si="13"/>
        <v>36.304713014993261</v>
      </c>
    </row>
    <row r="41" spans="1:27" x14ac:dyDescent="0.2">
      <c r="A41">
        <v>2027</v>
      </c>
      <c r="B41">
        <f>'HECO 2013'!B22*1000000*$O41/($Q41*$R41)</f>
        <v>0.1872890612656164</v>
      </c>
      <c r="C41">
        <f>'HECO 2013'!C22*1000000*$O41/($Q41*$R41)</f>
        <v>9.3925745439513333E-2</v>
      </c>
      <c r="D41">
        <f>'HECO 2013'!D22*1000000*$O41/($Q41*$R41)</f>
        <v>4.6681657913051532E-2</v>
      </c>
      <c r="E41">
        <f>'HECO 2013'!E22*1000000*$O41/($Q41*$R41)</f>
        <v>9.3925745439513333E-2</v>
      </c>
      <c r="F41">
        <f>'HECO 2013'!F22*1000000*$O41/($Q41*$R41)</f>
        <v>0.15016870678053926</v>
      </c>
      <c r="G41">
        <f t="shared" si="4"/>
        <v>0.26710590689182379</v>
      </c>
      <c r="H41">
        <f t="shared" si="14"/>
        <v>0.30769230769230776</v>
      </c>
      <c r="I41">
        <f t="shared" si="15"/>
        <v>0.15384615384615388</v>
      </c>
      <c r="J41">
        <f t="shared" ca="1" si="16"/>
        <v>5.4083534063536793E-3</v>
      </c>
      <c r="K41">
        <f ca="1">'BAU adoption'!E40</f>
        <v>2.1826177308110022E-2</v>
      </c>
      <c r="L41">
        <f ca="1"/>
        <v>5.28E-2</v>
      </c>
      <c r="N41">
        <f t="shared" si="17"/>
        <v>34.830357142857139</v>
      </c>
      <c r="O41">
        <f t="shared" si="17"/>
        <v>4</v>
      </c>
      <c r="P41">
        <f t="shared" si="17"/>
        <v>650</v>
      </c>
      <c r="Q41">
        <f t="shared" si="17"/>
        <v>816908</v>
      </c>
      <c r="R41">
        <f t="shared" si="17"/>
        <v>8706</v>
      </c>
      <c r="T41">
        <f t="shared" si="6"/>
        <v>333</v>
      </c>
      <c r="U41">
        <f t="shared" si="7"/>
        <v>167</v>
      </c>
      <c r="V41">
        <f t="shared" si="8"/>
        <v>83</v>
      </c>
      <c r="W41">
        <f t="shared" si="9"/>
        <v>167</v>
      </c>
      <c r="X41">
        <f t="shared" si="10"/>
        <v>266.99999999999994</v>
      </c>
      <c r="Y41">
        <f t="shared" si="11"/>
        <v>474.91437243541031</v>
      </c>
      <c r="Z41">
        <f t="shared" si="12"/>
        <v>547.07700369230781</v>
      </c>
      <c r="AA41">
        <f t="shared" ca="1" si="13"/>
        <v>38.806948972278079</v>
      </c>
    </row>
    <row r="42" spans="1:27" x14ac:dyDescent="0.2">
      <c r="A42">
        <v>2028</v>
      </c>
      <c r="B42">
        <f>'HECO 2013'!B23*1000000*$O42/($Q42*$R42)</f>
        <v>0.21316082348248833</v>
      </c>
      <c r="C42">
        <f>'HECO 2013'!C23*1000000*$O42/($Q42*$R42)</f>
        <v>0.1068616265479493</v>
      </c>
      <c r="D42">
        <f>'HECO 2013'!D23*1000000*$O42/($Q42*$R42)</f>
        <v>5.3430813273974649E-2</v>
      </c>
      <c r="E42">
        <f>'HECO 2013'!E23*1000000*$O42/($Q42*$R42)</f>
        <v>0.1068616265479493</v>
      </c>
      <c r="F42">
        <f>'HECO 2013'!F23*1000000*$O42/($Q42*$R42)</f>
        <v>0.16872888402307784</v>
      </c>
      <c r="G42">
        <f t="shared" si="4"/>
        <v>0.30741033475807222</v>
      </c>
      <c r="H42">
        <f t="shared" si="14"/>
        <v>0.3461538461538462</v>
      </c>
      <c r="I42">
        <f t="shared" si="15"/>
        <v>0.1730769230769231</v>
      </c>
      <c r="J42">
        <f t="shared" ca="1" si="16"/>
        <v>5.4083534063536793E-3</v>
      </c>
      <c r="K42">
        <f ca="1">'BAU adoption'!E41</f>
        <v>2.3233508910226974E-2</v>
      </c>
      <c r="L42">
        <f ca="1"/>
        <v>6.2600000000000003E-2</v>
      </c>
      <c r="N42">
        <f t="shared" si="17"/>
        <v>35.673115079365076</v>
      </c>
      <c r="O42">
        <f t="shared" si="17"/>
        <v>4</v>
      </c>
      <c r="P42">
        <f t="shared" si="17"/>
        <v>625</v>
      </c>
      <c r="Q42">
        <f t="shared" si="17"/>
        <v>816908</v>
      </c>
      <c r="R42">
        <f t="shared" si="17"/>
        <v>8706</v>
      </c>
      <c r="T42">
        <f t="shared" si="6"/>
        <v>379</v>
      </c>
      <c r="U42">
        <f t="shared" si="7"/>
        <v>190</v>
      </c>
      <c r="V42">
        <f t="shared" si="8"/>
        <v>95</v>
      </c>
      <c r="W42">
        <f t="shared" si="9"/>
        <v>190</v>
      </c>
      <c r="X42">
        <f t="shared" si="10"/>
        <v>300</v>
      </c>
      <c r="Y42">
        <f t="shared" si="11"/>
        <v>546.57565574136004</v>
      </c>
      <c r="Z42">
        <f t="shared" si="12"/>
        <v>615.46162915384627</v>
      </c>
      <c r="AA42">
        <f t="shared" ca="1" si="13"/>
        <v>41.309184929562889</v>
      </c>
    </row>
    <row r="43" spans="1:27" x14ac:dyDescent="0.2">
      <c r="A43">
        <v>2029</v>
      </c>
      <c r="B43">
        <f>'HECO 2013'!B24*1000000*$O43/($Q43*$R43)</f>
        <v>0.24071987453959104</v>
      </c>
      <c r="C43">
        <f>'HECO 2013'!C24*1000000*$O43/($Q43*$R43)</f>
        <v>0.12035993726979552</v>
      </c>
      <c r="D43">
        <f>'HECO 2013'!D24*1000000*$O43/($Q43*$R43)</f>
        <v>6.017996863489776E-2</v>
      </c>
      <c r="E43">
        <f>'HECO 2013'!E24*1000000*$O43/($Q43*$R43)</f>
        <v>0.12035993726979552</v>
      </c>
      <c r="F43">
        <f>'HECO 2013'!F24*1000000*$O43/($Q43*$R43)</f>
        <v>0.18785149087902667</v>
      </c>
      <c r="G43">
        <f t="shared" si="4"/>
        <v>0.35123874677323191</v>
      </c>
      <c r="H43">
        <f t="shared" si="14"/>
        <v>0.38461538461538464</v>
      </c>
      <c r="I43">
        <f t="shared" si="15"/>
        <v>0.19230769230769232</v>
      </c>
      <c r="J43">
        <f t="shared" ca="1" si="16"/>
        <v>5.4083534063536793E-3</v>
      </c>
      <c r="K43">
        <f ca="1">'BAU adoption'!E42</f>
        <v>2.4640840512343928E-2</v>
      </c>
      <c r="L43">
        <f ca="1"/>
        <v>7.2999999999999995E-2</v>
      </c>
      <c r="N43">
        <f t="shared" si="17"/>
        <v>36.515873015873012</v>
      </c>
      <c r="O43">
        <f t="shared" si="17"/>
        <v>4</v>
      </c>
      <c r="P43">
        <f t="shared" si="17"/>
        <v>600</v>
      </c>
      <c r="Q43">
        <f t="shared" si="17"/>
        <v>816908</v>
      </c>
      <c r="R43">
        <f t="shared" si="17"/>
        <v>8706</v>
      </c>
      <c r="T43">
        <f t="shared" si="6"/>
        <v>428</v>
      </c>
      <c r="U43">
        <f t="shared" si="7"/>
        <v>214</v>
      </c>
      <c r="V43">
        <f t="shared" si="8"/>
        <v>107</v>
      </c>
      <c r="W43">
        <f t="shared" si="9"/>
        <v>214</v>
      </c>
      <c r="X43">
        <f t="shared" si="10"/>
        <v>334</v>
      </c>
      <c r="Y43">
        <f t="shared" si="11"/>
        <v>624.50258378735805</v>
      </c>
      <c r="Z43">
        <f t="shared" si="12"/>
        <v>683.84625461538462</v>
      </c>
      <c r="AA43">
        <f t="shared" ca="1" si="13"/>
        <v>43.811420886847721</v>
      </c>
    </row>
    <row r="44" spans="1:27" x14ac:dyDescent="0.2">
      <c r="A44">
        <v>2030</v>
      </c>
      <c r="B44">
        <f>'HECO 2013'!B25*1000000*$O44/($Q44*$R44)</f>
        <v>0.26940378482351429</v>
      </c>
      <c r="C44">
        <f>'HECO 2013'!C25*1000000*$O44/($Q44*$R44)</f>
        <v>0.134420677605052</v>
      </c>
      <c r="D44">
        <f>'HECO 2013'!D25*1000000*$O44/($Q44*$R44)</f>
        <v>6.7491553609231134E-2</v>
      </c>
      <c r="E44">
        <f>'HECO 2013'!E25*1000000*$O44/($Q44*$R44)</f>
        <v>0.134420677605052</v>
      </c>
      <c r="F44">
        <f>'HECO 2013'!F25*1000000*$O44/($Q44*$R44)</f>
        <v>0.20809895696179601</v>
      </c>
      <c r="G44">
        <f t="shared" si="4"/>
        <v>0.3981856469174983</v>
      </c>
      <c r="H44">
        <f t="shared" si="14"/>
        <v>0.42307692307692307</v>
      </c>
      <c r="I44">
        <f t="shared" si="15"/>
        <v>0.21153846153846154</v>
      </c>
      <c r="J44">
        <f t="shared" ca="1" si="16"/>
        <v>5.4083534063536793E-3</v>
      </c>
      <c r="K44">
        <f ca="1">'BAU adoption'!E43</f>
        <v>2.604817211446088E-2</v>
      </c>
      <c r="L44">
        <f ca="1"/>
        <v>8.4500000000000006E-2</v>
      </c>
      <c r="N44">
        <f t="shared" si="17"/>
        <v>37.358630952380949</v>
      </c>
      <c r="O44">
        <f t="shared" si="17"/>
        <v>4</v>
      </c>
      <c r="P44">
        <f t="shared" si="17"/>
        <v>575</v>
      </c>
      <c r="Q44">
        <f t="shared" si="17"/>
        <v>816908</v>
      </c>
      <c r="R44">
        <f t="shared" si="17"/>
        <v>8706</v>
      </c>
      <c r="T44">
        <f t="shared" si="6"/>
        <v>479</v>
      </c>
      <c r="U44">
        <f t="shared" si="7"/>
        <v>238.99999999999997</v>
      </c>
      <c r="V44">
        <f t="shared" si="8"/>
        <v>120</v>
      </c>
      <c r="W44">
        <f t="shared" si="9"/>
        <v>238.99999999999997</v>
      </c>
      <c r="X44">
        <f t="shared" si="10"/>
        <v>370</v>
      </c>
      <c r="Y44">
        <f t="shared" si="11"/>
        <v>707.97418454395154</v>
      </c>
      <c r="Z44">
        <f t="shared" si="12"/>
        <v>752.23088007692297</v>
      </c>
      <c r="AA44">
        <f t="shared" ca="1" si="13"/>
        <v>46.313656844132538</v>
      </c>
    </row>
    <row r="45" spans="1:27" x14ac:dyDescent="0.2">
      <c r="A45">
        <v>2031</v>
      </c>
      <c r="B45">
        <f>'HECO 2013'!B26*1000000*$O45/($Q45*$R45)</f>
        <v>0.29921255433425803</v>
      </c>
      <c r="C45">
        <f>'HECO 2013'!C26*1000000*$O45/($Q45*$R45)</f>
        <v>0.14960627716712901</v>
      </c>
      <c r="D45">
        <f>'HECO 2013'!D26*1000000*$O45/($Q45*$R45)</f>
        <v>7.4803138583564507E-2</v>
      </c>
      <c r="E45">
        <f>'HECO 2013'!E26*1000000*$O45/($Q45*$R45)</f>
        <v>0.14960627716712901</v>
      </c>
      <c r="F45">
        <f>'HECO 2013'!F26*1000000*$O45/($Q45*$R45)</f>
        <v>0.22890885265797559</v>
      </c>
      <c r="G45">
        <f t="shared" si="4"/>
        <v>0.44766726455808126</v>
      </c>
      <c r="H45">
        <f t="shared" si="14"/>
        <v>0.46153846153846151</v>
      </c>
      <c r="I45">
        <f t="shared" si="15"/>
        <v>0.23076923076923075</v>
      </c>
      <c r="J45">
        <f t="shared" ca="1" si="16"/>
        <v>5.4083534063536793E-3</v>
      </c>
      <c r="K45">
        <f ca="1">'BAU adoption'!E44</f>
        <v>2.7455503716577834E-2</v>
      </c>
      <c r="L45">
        <f ca="1"/>
        <v>9.7199999999999995E-2</v>
      </c>
      <c r="N45">
        <f t="shared" si="17"/>
        <v>38.201388888888886</v>
      </c>
      <c r="O45">
        <f t="shared" si="17"/>
        <v>4</v>
      </c>
      <c r="P45">
        <f t="shared" si="17"/>
        <v>550</v>
      </c>
      <c r="Q45">
        <f t="shared" si="17"/>
        <v>816908</v>
      </c>
      <c r="R45">
        <f t="shared" si="17"/>
        <v>8706</v>
      </c>
      <c r="T45">
        <f t="shared" si="6"/>
        <v>532</v>
      </c>
      <c r="U45">
        <f t="shared" si="7"/>
        <v>266</v>
      </c>
      <c r="V45">
        <f t="shared" si="8"/>
        <v>133</v>
      </c>
      <c r="W45">
        <f t="shared" si="9"/>
        <v>266</v>
      </c>
      <c r="X45">
        <f t="shared" si="10"/>
        <v>407</v>
      </c>
      <c r="Y45">
        <f t="shared" si="11"/>
        <v>795.95251367309186</v>
      </c>
      <c r="Z45">
        <f t="shared" si="12"/>
        <v>820.61550553846143</v>
      </c>
      <c r="AA45">
        <f t="shared" ca="1" si="13"/>
        <v>48.815892801417363</v>
      </c>
    </row>
    <row r="46" spans="1:27" x14ac:dyDescent="0.2">
      <c r="A46">
        <v>2032</v>
      </c>
      <c r="B46">
        <f>'HECO 2013'!B27*1000000*$O46/($Q46*$R46)</f>
        <v>0.32845889423159152</v>
      </c>
      <c r="C46">
        <f>'HECO 2013'!C27*1000000*$O46/($Q46*$R46)</f>
        <v>0.16422944711579576</v>
      </c>
      <c r="D46">
        <f>'HECO 2013'!D27*1000000*$O46/($Q46*$R46)</f>
        <v>8.2114723557897881E-2</v>
      </c>
      <c r="E46">
        <f>'HECO 2013'!E27*1000000*$O46/($Q46*$R46)</f>
        <v>0.16422944711579576</v>
      </c>
      <c r="F46">
        <f>'HECO 2013'!F27*1000000*$O46/($Q46*$R46)</f>
        <v>0.2497187483541552</v>
      </c>
      <c r="G46">
        <f t="shared" si="4"/>
        <v>0.49894054881097621</v>
      </c>
      <c r="H46">
        <f t="shared" si="14"/>
        <v>0.5</v>
      </c>
      <c r="I46">
        <f t="shared" si="15"/>
        <v>0.25</v>
      </c>
      <c r="J46">
        <f t="shared" ca="1" si="16"/>
        <v>5.4083534063536793E-3</v>
      </c>
      <c r="K46">
        <f ca="1">'BAU adoption'!E45</f>
        <v>2.8862835318694786E-2</v>
      </c>
      <c r="L46">
        <f ca="1"/>
        <v>0.1128</v>
      </c>
      <c r="N46">
        <f t="shared" ref="N46:R55" si="18">N$7+($A46-$M$7)*N$9</f>
        <v>39.044146825396822</v>
      </c>
      <c r="O46">
        <f t="shared" si="18"/>
        <v>4</v>
      </c>
      <c r="P46">
        <f t="shared" si="18"/>
        <v>525</v>
      </c>
      <c r="Q46">
        <f t="shared" si="18"/>
        <v>816908</v>
      </c>
      <c r="R46">
        <f t="shared" si="18"/>
        <v>8706</v>
      </c>
      <c r="T46">
        <f t="shared" si="6"/>
        <v>584</v>
      </c>
      <c r="U46">
        <f t="shared" si="7"/>
        <v>292</v>
      </c>
      <c r="V46">
        <f t="shared" si="8"/>
        <v>146</v>
      </c>
      <c r="W46">
        <f t="shared" si="9"/>
        <v>292</v>
      </c>
      <c r="X46">
        <f t="shared" si="10"/>
        <v>444</v>
      </c>
      <c r="Y46">
        <f t="shared" si="11"/>
        <v>887.11642650833949</v>
      </c>
      <c r="Z46">
        <f t="shared" si="12"/>
        <v>889.00013100000001</v>
      </c>
      <c r="AA46">
        <f t="shared" ca="1" si="13"/>
        <v>51.31812875870218</v>
      </c>
    </row>
    <row r="47" spans="1:27" x14ac:dyDescent="0.2">
      <c r="A47">
        <v>2033</v>
      </c>
      <c r="B47">
        <f>'HECO 2013'!B28*1000000*$O47/($Q47*$R47)</f>
        <v>0.35826766374233526</v>
      </c>
      <c r="C47">
        <f>'HECO 2013'!C28*1000000*$O47/($Q47*$R47)</f>
        <v>0.17941504667787275</v>
      </c>
      <c r="D47">
        <f>'HECO 2013'!D28*1000000*$O47/($Q47*$R47)</f>
        <v>8.9426308532231255E-2</v>
      </c>
      <c r="E47">
        <f>'HECO 2013'!E28*1000000*$O47/($Q47*$R47)</f>
        <v>0.17941504667787275</v>
      </c>
      <c r="F47">
        <f>'HECO 2013'!F28*1000000*$O47/($Q47*$R47)</f>
        <v>0.27109107366374507</v>
      </c>
      <c r="G47">
        <f t="shared" si="4"/>
        <v>0.5511421033577687</v>
      </c>
      <c r="H47">
        <f t="shared" si="14"/>
        <v>0.53846153846153855</v>
      </c>
      <c r="I47">
        <f t="shared" si="15"/>
        <v>0.26923076923076927</v>
      </c>
      <c r="J47">
        <f t="shared" ca="1" si="16"/>
        <v>5.4083534063536793E-3</v>
      </c>
      <c r="K47">
        <f ca="1">'BAU adoption'!E46</f>
        <v>3.027016692081174E-2</v>
      </c>
      <c r="L47">
        <f ca="1"/>
        <v>0.128</v>
      </c>
      <c r="N47">
        <f t="shared" si="18"/>
        <v>39.886904761904759</v>
      </c>
      <c r="O47">
        <f t="shared" si="18"/>
        <v>4</v>
      </c>
      <c r="P47">
        <f t="shared" si="18"/>
        <v>500</v>
      </c>
      <c r="Q47">
        <f t="shared" si="18"/>
        <v>816908</v>
      </c>
      <c r="R47">
        <f t="shared" si="18"/>
        <v>8706</v>
      </c>
      <c r="T47">
        <f t="shared" si="6"/>
        <v>637</v>
      </c>
      <c r="U47">
        <f t="shared" si="7"/>
        <v>319</v>
      </c>
      <c r="V47">
        <f t="shared" si="8"/>
        <v>159</v>
      </c>
      <c r="W47">
        <f t="shared" si="9"/>
        <v>319</v>
      </c>
      <c r="X47">
        <f t="shared" si="10"/>
        <v>482</v>
      </c>
      <c r="Y47">
        <f t="shared" si="11"/>
        <v>979.93080416934379</v>
      </c>
      <c r="Z47">
        <f t="shared" si="12"/>
        <v>957.3847564615387</v>
      </c>
      <c r="AA47">
        <f t="shared" ca="1" si="13"/>
        <v>53.820364715987012</v>
      </c>
    </row>
    <row r="48" spans="1:27" x14ac:dyDescent="0.2">
      <c r="A48">
        <f>A47+1</f>
        <v>2034</v>
      </c>
      <c r="B48">
        <f>'HECO 2013'!B29*1000000*$O48/($Q48*$R48)</f>
        <v>0.388076433253079</v>
      </c>
      <c r="C48">
        <f>'HECO 2013'!C29*1000000*$O48/($Q48*$R48)</f>
        <v>0.19460064623994977</v>
      </c>
      <c r="D48">
        <f>'HECO 2013'!D29*1000000*$O48/($Q48*$R48)</f>
        <v>9.6737893506564629E-2</v>
      </c>
      <c r="E48">
        <f>'HECO 2013'!E29*1000000*$O48/($Q48*$R48)</f>
        <v>0.19460064623994977</v>
      </c>
      <c r="F48">
        <f>'HECO 2013'!F29*1000000*$O48/($Q48*$R48)</f>
        <v>0.2930258285867452</v>
      </c>
      <c r="G48">
        <f t="shared" si="4"/>
        <v>0.60334365790456124</v>
      </c>
      <c r="H48">
        <f t="shared" si="14"/>
        <v>0.57692307692307687</v>
      </c>
      <c r="I48">
        <f t="shared" si="15"/>
        <v>0.28846153846153844</v>
      </c>
      <c r="J48">
        <f t="shared" ca="1" si="16"/>
        <v>5.4083534063536793E-3</v>
      </c>
      <c r="K48">
        <f ca="1">'BAU adoption'!E47</f>
        <v>3.1677498522928692E-2</v>
      </c>
      <c r="L48">
        <f ca="1"/>
        <v>0.14549999999999999</v>
      </c>
      <c r="N48">
        <f t="shared" si="18"/>
        <v>40.729662698412696</v>
      </c>
      <c r="O48">
        <f t="shared" si="18"/>
        <v>4</v>
      </c>
      <c r="P48">
        <f t="shared" si="18"/>
        <v>475</v>
      </c>
      <c r="Q48">
        <f t="shared" si="18"/>
        <v>816908</v>
      </c>
      <c r="R48">
        <f t="shared" si="18"/>
        <v>8706</v>
      </c>
      <c r="T48">
        <f t="shared" si="6"/>
        <v>690</v>
      </c>
      <c r="U48">
        <f t="shared" si="7"/>
        <v>346</v>
      </c>
      <c r="V48">
        <f t="shared" si="8"/>
        <v>172</v>
      </c>
      <c r="W48">
        <f t="shared" si="9"/>
        <v>346</v>
      </c>
      <c r="X48">
        <f t="shared" si="10"/>
        <v>521.00000000000011</v>
      </c>
      <c r="Y48">
        <f t="shared" si="11"/>
        <v>1072.7451818303482</v>
      </c>
      <c r="Z48">
        <f t="shared" si="12"/>
        <v>1025.7693819230769</v>
      </c>
      <c r="AA48">
        <f t="shared" ca="1" si="13"/>
        <v>56.322600673271822</v>
      </c>
    </row>
    <row r="49" spans="1:27" x14ac:dyDescent="0.2">
      <c r="A49">
        <f t="shared" ref="A49:A64" si="19">A48+1</f>
        <v>2035</v>
      </c>
      <c r="B49">
        <f>'HECO 2013'!B30*1000000*$O49/($Q49*$R49)</f>
        <v>0.4173227731504125</v>
      </c>
      <c r="C49">
        <f>'HECO 2013'!C30*1000000*$O49/($Q49*$R49)</f>
        <v>0.20922381618861652</v>
      </c>
      <c r="D49">
        <f>'HECO 2013'!D30*1000000*$O49/($Q49*$R49)</f>
        <v>0.104049478480898</v>
      </c>
      <c r="E49">
        <f>'HECO 2013'!E30*1000000*$O49/($Q49*$R49)</f>
        <v>0.20922381618861652</v>
      </c>
      <c r="F49">
        <f>'HECO 2013'!F30*1000000*$O49/($Q49*$R49)</f>
        <v>0.31496058350974526</v>
      </c>
      <c r="G49">
        <f t="shared" si="4"/>
        <v>0.65461694215745614</v>
      </c>
      <c r="H49">
        <f t="shared" si="14"/>
        <v>0.61538461538461542</v>
      </c>
      <c r="I49">
        <f t="shared" si="15"/>
        <v>0.30769230769230771</v>
      </c>
      <c r="J49">
        <f t="shared" ca="1" si="16"/>
        <v>5.4083534063536793E-3</v>
      </c>
      <c r="K49">
        <f ca="1">'BAU adoption'!E48</f>
        <v>3.3084830125045643E-2</v>
      </c>
      <c r="L49">
        <f ca="1"/>
        <v>0.16500000000000001</v>
      </c>
      <c r="N49">
        <f t="shared" si="18"/>
        <v>41.572420634920633</v>
      </c>
      <c r="O49">
        <f t="shared" si="18"/>
        <v>4</v>
      </c>
      <c r="P49">
        <f t="shared" si="18"/>
        <v>450</v>
      </c>
      <c r="Q49">
        <f t="shared" si="18"/>
        <v>816908</v>
      </c>
      <c r="R49">
        <f t="shared" si="18"/>
        <v>8706</v>
      </c>
      <c r="T49">
        <f t="shared" si="6"/>
        <v>742</v>
      </c>
      <c r="U49">
        <f t="shared" si="7"/>
        <v>372</v>
      </c>
      <c r="V49">
        <f t="shared" si="8"/>
        <v>185</v>
      </c>
      <c r="W49">
        <f t="shared" si="9"/>
        <v>372</v>
      </c>
      <c r="X49">
        <f t="shared" si="10"/>
        <v>560</v>
      </c>
      <c r="Y49">
        <f t="shared" si="11"/>
        <v>1163.9090946655958</v>
      </c>
      <c r="Z49">
        <f t="shared" si="12"/>
        <v>1094.1540073846154</v>
      </c>
      <c r="AA49">
        <f t="shared" ca="1" si="13"/>
        <v>58.824836630556646</v>
      </c>
    </row>
    <row r="50" spans="1:27" x14ac:dyDescent="0.2">
      <c r="A50">
        <f t="shared" si="19"/>
        <v>2036</v>
      </c>
      <c r="B50">
        <f>'HECO 2013'!B31*1000000*$O50/($Q50*$R50)</f>
        <v>0.44713154266115623</v>
      </c>
      <c r="C50">
        <f>'HECO 2013'!C31*1000000*$O50/($Q50*$R50)</f>
        <v>0.22440941575069351</v>
      </c>
      <c r="D50">
        <f>'HECO 2013'!D31*1000000*$O50/($Q50*$R50)</f>
        <v>0.11136106345523136</v>
      </c>
      <c r="E50">
        <f>'HECO 2013'!E31*1000000*$O50/($Q50*$R50)</f>
        <v>0.22440941575069351</v>
      </c>
      <c r="F50">
        <f>'HECO 2013'!F31*1000000*$O50/($Q50*$R50)</f>
        <v>0.33689533843274538</v>
      </c>
      <c r="G50">
        <f t="shared" si="4"/>
        <v>0.70409855979803904</v>
      </c>
      <c r="H50">
        <f t="shared" si="14"/>
        <v>0.65384615384615397</v>
      </c>
      <c r="I50">
        <f t="shared" si="15"/>
        <v>0.32692307692307698</v>
      </c>
      <c r="J50">
        <f t="shared" ca="1" si="16"/>
        <v>5.4083534063536793E-3</v>
      </c>
      <c r="K50">
        <f ca="1">'BAU adoption'!E49</f>
        <v>3.4492161727162594E-2</v>
      </c>
      <c r="L50">
        <f ca="1"/>
        <v>0.18379999999999999</v>
      </c>
      <c r="N50">
        <f t="shared" si="18"/>
        <v>42.415178571428569</v>
      </c>
      <c r="O50">
        <f t="shared" si="18"/>
        <v>4</v>
      </c>
      <c r="P50">
        <f t="shared" si="18"/>
        <v>425</v>
      </c>
      <c r="Q50">
        <f t="shared" si="18"/>
        <v>816908</v>
      </c>
      <c r="R50">
        <f t="shared" si="18"/>
        <v>8706</v>
      </c>
      <c r="T50">
        <f t="shared" si="6"/>
        <v>795</v>
      </c>
      <c r="U50">
        <f t="shared" si="7"/>
        <v>399</v>
      </c>
      <c r="V50">
        <f t="shared" si="8"/>
        <v>197.99999999999997</v>
      </c>
      <c r="W50">
        <f t="shared" si="9"/>
        <v>399</v>
      </c>
      <c r="X50">
        <f t="shared" si="10"/>
        <v>599</v>
      </c>
      <c r="Y50">
        <f t="shared" si="11"/>
        <v>1251.8874237947362</v>
      </c>
      <c r="Z50">
        <f t="shared" si="12"/>
        <v>1162.5386328461543</v>
      </c>
      <c r="AA50">
        <f t="shared" ca="1" si="13"/>
        <v>61.327072587841464</v>
      </c>
    </row>
    <row r="51" spans="1:27" x14ac:dyDescent="0.2">
      <c r="A51">
        <f t="shared" si="19"/>
        <v>2037</v>
      </c>
      <c r="B51">
        <f>'HECO 2013'!B32*1000000*$O51/($Q51*$R51)</f>
        <v>0.47581545294507949</v>
      </c>
      <c r="C51">
        <f>'HECO 2013'!C32*1000000*$O51/($Q51*$R51)</f>
        <v>0.23847015608595001</v>
      </c>
      <c r="D51">
        <f>'HECO 2013'!D32*1000000*$O51/($Q51*$R51)</f>
        <v>0.11867264842956474</v>
      </c>
      <c r="E51">
        <f>'HECO 2013'!E32*1000000*$O51/($Q51*$R51)</f>
        <v>0.23847015608595001</v>
      </c>
      <c r="F51">
        <f>'HECO 2013'!F32*1000000*$O51/($Q51*$R51)</f>
        <v>0.3593925229691558</v>
      </c>
      <c r="G51">
        <f t="shared" si="4"/>
        <v>0.75104545994230554</v>
      </c>
      <c r="H51">
        <f t="shared" si="14"/>
        <v>0.69230769230769229</v>
      </c>
      <c r="I51">
        <f t="shared" si="15"/>
        <v>0.34615384615384615</v>
      </c>
      <c r="J51">
        <f t="shared" ca="1" si="16"/>
        <v>5.4083534063536793E-3</v>
      </c>
      <c r="K51">
        <f ca="1">'BAU adoption'!E50</f>
        <v>3.5899493329279553E-2</v>
      </c>
      <c r="L51">
        <f ca="1"/>
        <v>0.20599999999999999</v>
      </c>
      <c r="N51">
        <f t="shared" si="18"/>
        <v>43.257936507936506</v>
      </c>
      <c r="O51">
        <f t="shared" si="18"/>
        <v>4</v>
      </c>
      <c r="P51">
        <f t="shared" si="18"/>
        <v>400</v>
      </c>
      <c r="Q51">
        <f t="shared" si="18"/>
        <v>816908</v>
      </c>
      <c r="R51">
        <f t="shared" si="18"/>
        <v>8706</v>
      </c>
      <c r="T51">
        <f t="shared" si="6"/>
        <v>846</v>
      </c>
      <c r="U51">
        <f t="shared" si="7"/>
        <v>424</v>
      </c>
      <c r="V51">
        <f t="shared" si="8"/>
        <v>210.99999999999997</v>
      </c>
      <c r="W51">
        <f t="shared" si="9"/>
        <v>424</v>
      </c>
      <c r="X51">
        <f t="shared" si="10"/>
        <v>639</v>
      </c>
      <c r="Y51">
        <f t="shared" si="11"/>
        <v>1335.3590245513299</v>
      </c>
      <c r="Z51">
        <f t="shared" si="12"/>
        <v>1230.9232583076923</v>
      </c>
      <c r="AA51">
        <f t="shared" ca="1" si="13"/>
        <v>63.829308545126295</v>
      </c>
    </row>
    <row r="52" spans="1:27" x14ac:dyDescent="0.2">
      <c r="A52">
        <f t="shared" si="19"/>
        <v>2038</v>
      </c>
      <c r="B52">
        <f>'HECO 2013'!B33*1000000*$O52/($Q52*$R52)</f>
        <v>0.5033745040021822</v>
      </c>
      <c r="C52">
        <f>'HECO 2013'!C33*1000000*$O52/($Q52*$R52)</f>
        <v>0.25196846680779622</v>
      </c>
      <c r="D52">
        <f>'HECO 2013'!D33*1000000*$O52/($Q52*$R52)</f>
        <v>0.12542180379048787</v>
      </c>
      <c r="E52">
        <f>'HECO 2013'!E33*1000000*$O52/($Q52*$R52)</f>
        <v>0.25196846680779622</v>
      </c>
      <c r="F52">
        <f>'HECO 2013'!F33*1000000*$O52/($Q52*$R52)</f>
        <v>0.38188970750556617</v>
      </c>
      <c r="G52">
        <f t="shared" si="4"/>
        <v>0.79487387195746517</v>
      </c>
      <c r="H52">
        <f t="shared" si="14"/>
        <v>0.73076923076923084</v>
      </c>
      <c r="I52">
        <f t="shared" si="15"/>
        <v>0.36538461538461542</v>
      </c>
      <c r="J52">
        <f t="shared" ca="1" si="16"/>
        <v>5.4083534063536793E-3</v>
      </c>
      <c r="K52">
        <f ca="1">'BAU adoption'!E51</f>
        <v>3.7306824931396504E-2</v>
      </c>
      <c r="L52">
        <f ca="1"/>
        <v>0.23150000000000001</v>
      </c>
      <c r="N52">
        <f t="shared" si="18"/>
        <v>44.100694444444443</v>
      </c>
      <c r="O52">
        <f t="shared" si="18"/>
        <v>4</v>
      </c>
      <c r="P52">
        <f t="shared" si="18"/>
        <v>375</v>
      </c>
      <c r="Q52">
        <f t="shared" si="18"/>
        <v>816908</v>
      </c>
      <c r="R52">
        <f t="shared" si="18"/>
        <v>8706</v>
      </c>
      <c r="T52">
        <f t="shared" si="6"/>
        <v>895</v>
      </c>
      <c r="U52">
        <f t="shared" si="7"/>
        <v>448</v>
      </c>
      <c r="V52">
        <f t="shared" si="8"/>
        <v>223.00000000000003</v>
      </c>
      <c r="W52">
        <f t="shared" si="9"/>
        <v>448</v>
      </c>
      <c r="X52">
        <f t="shared" si="10"/>
        <v>679</v>
      </c>
      <c r="Y52">
        <f t="shared" si="11"/>
        <v>1413.2859525973277</v>
      </c>
      <c r="Z52">
        <f t="shared" si="12"/>
        <v>1299.307883769231</v>
      </c>
      <c r="AA52">
        <f t="shared" ca="1" si="13"/>
        <v>66.33154450241112</v>
      </c>
    </row>
    <row r="53" spans="1:27" x14ac:dyDescent="0.2">
      <c r="A53">
        <f t="shared" si="19"/>
        <v>2039</v>
      </c>
      <c r="B53">
        <f>'HECO 2013'!B34*1000000*$O53/($Q53*$R53)</f>
        <v>0.52924626621905413</v>
      </c>
      <c r="C53">
        <f>'HECO 2013'!C34*1000000*$O53/($Q53*$R53)</f>
        <v>0.26490434791623219</v>
      </c>
      <c r="D53">
        <f>'HECO 2013'!D34*1000000*$O53/($Q53*$R53)</f>
        <v>0.13217095915141097</v>
      </c>
      <c r="E53">
        <f>'HECO 2013'!E34*1000000*$O53/($Q53*$R53)</f>
        <v>0.26490434791623219</v>
      </c>
      <c r="F53">
        <f>'HECO 2013'!F34*1000000*$O53/($Q53*$R53)</f>
        <v>0.40438689204197653</v>
      </c>
      <c r="G53">
        <f t="shared" si="4"/>
        <v>0.83517829982371361</v>
      </c>
      <c r="H53">
        <f t="shared" si="14"/>
        <v>0.76923076923076916</v>
      </c>
      <c r="I53">
        <f t="shared" si="15"/>
        <v>0.38461538461538458</v>
      </c>
      <c r="J53">
        <f t="shared" ca="1" si="16"/>
        <v>5.4083534063536793E-3</v>
      </c>
      <c r="K53">
        <f ca="1">'BAU adoption'!E52</f>
        <v>3.8714156533513455E-2</v>
      </c>
      <c r="L53">
        <f ca="1"/>
        <v>0.26050000000000001</v>
      </c>
      <c r="N53">
        <f t="shared" si="18"/>
        <v>44.94345238095238</v>
      </c>
      <c r="O53">
        <f t="shared" si="18"/>
        <v>4</v>
      </c>
      <c r="P53">
        <f t="shared" si="18"/>
        <v>350</v>
      </c>
      <c r="Q53">
        <f t="shared" si="18"/>
        <v>816908</v>
      </c>
      <c r="R53">
        <f t="shared" si="18"/>
        <v>8706</v>
      </c>
      <c r="T53">
        <f t="shared" si="6"/>
        <v>941</v>
      </c>
      <c r="U53">
        <f t="shared" si="7"/>
        <v>470.99999999999994</v>
      </c>
      <c r="V53">
        <f t="shared" si="8"/>
        <v>235</v>
      </c>
      <c r="W53">
        <f t="shared" si="9"/>
        <v>470.99999999999994</v>
      </c>
      <c r="X53">
        <f t="shared" si="10"/>
        <v>719</v>
      </c>
      <c r="Y53">
        <f t="shared" si="11"/>
        <v>1484.9472359032775</v>
      </c>
      <c r="Z53">
        <f t="shared" si="12"/>
        <v>1367.692509230769</v>
      </c>
      <c r="AA53">
        <f t="shared" ca="1" si="13"/>
        <v>68.83378045969593</v>
      </c>
    </row>
    <row r="54" spans="1:27" x14ac:dyDescent="0.2">
      <c r="A54">
        <f t="shared" si="19"/>
        <v>2040</v>
      </c>
      <c r="B54">
        <f>'HECO 2013'!B35*1000000*$O54/($Q54*$R54)</f>
        <v>0.55343073959569533</v>
      </c>
      <c r="C54">
        <f>'HECO 2013'!C35*1000000*$O54/($Q54*$R54)</f>
        <v>0.27727779941125791</v>
      </c>
      <c r="D54">
        <f>'HECO 2013'!D35*1000000*$O54/($Q54*$R54)</f>
        <v>0.13779525528551356</v>
      </c>
      <c r="E54">
        <f>'HECO 2013'!E35*1000000*$O54/($Q54*$R54)</f>
        <v>0.27727779941125791</v>
      </c>
      <c r="F54">
        <f>'HECO 2013'!F35*1000000*$O54/($Q54*$R54)</f>
        <v>0.4268840765783869</v>
      </c>
      <c r="G54">
        <f t="shared" si="4"/>
        <v>0.87173114175453059</v>
      </c>
      <c r="H54">
        <f t="shared" si="14"/>
        <v>0.80769230769230771</v>
      </c>
      <c r="I54">
        <f t="shared" si="15"/>
        <v>0.40384615384615385</v>
      </c>
      <c r="J54">
        <f t="shared" ca="1" si="16"/>
        <v>5.4083534063536793E-3</v>
      </c>
      <c r="K54">
        <f ca="1">'BAU adoption'!E53</f>
        <v>4.0121488135630407E-2</v>
      </c>
      <c r="L54">
        <f ca="1"/>
        <v>0.29549999999999998</v>
      </c>
      <c r="N54">
        <f t="shared" si="18"/>
        <v>45.786210317460316</v>
      </c>
      <c r="O54">
        <f t="shared" si="18"/>
        <v>4</v>
      </c>
      <c r="P54">
        <f t="shared" si="18"/>
        <v>325</v>
      </c>
      <c r="Q54">
        <f t="shared" si="18"/>
        <v>816908</v>
      </c>
      <c r="R54">
        <f t="shared" si="18"/>
        <v>8706</v>
      </c>
      <c r="T54">
        <f t="shared" si="6"/>
        <v>984</v>
      </c>
      <c r="U54">
        <f t="shared" si="7"/>
        <v>493</v>
      </c>
      <c r="V54">
        <f t="shared" si="8"/>
        <v>245</v>
      </c>
      <c r="W54">
        <f t="shared" si="9"/>
        <v>493</v>
      </c>
      <c r="X54">
        <f t="shared" si="10"/>
        <v>759</v>
      </c>
      <c r="Y54">
        <f t="shared" si="11"/>
        <v>1549.9381984331146</v>
      </c>
      <c r="Z54">
        <f t="shared" si="12"/>
        <v>1436.0771346923077</v>
      </c>
      <c r="AA54">
        <f t="shared" ca="1" si="13"/>
        <v>71.336016416980755</v>
      </c>
    </row>
    <row r="55" spans="1:27" x14ac:dyDescent="0.2">
      <c r="A55">
        <f t="shared" si="19"/>
        <v>2041</v>
      </c>
      <c r="B55">
        <f>'HECO 2013'!B36*1000000*$O55/($Q55*$R55)</f>
        <v>0.57705278335892618</v>
      </c>
      <c r="C55">
        <f>'HECO 2013'!C36*1000000*$O55/($Q55*$R55)</f>
        <v>0.28908882129287333</v>
      </c>
      <c r="D55">
        <f>'HECO 2013'!D36*1000000*$O55/($Q55*$R55)</f>
        <v>0.14398198103302642</v>
      </c>
      <c r="E55">
        <f>'HECO 2013'!E36*1000000*$O55/($Q55*$R55)</f>
        <v>0.28908882129287333</v>
      </c>
      <c r="F55">
        <f>'HECO 2013'!F36*1000000*$O55/($Q55*$R55)</f>
        <v>0.44938126111479731</v>
      </c>
      <c r="G55">
        <f t="shared" si="4"/>
        <v>0.90446660815966717</v>
      </c>
      <c r="H55">
        <f t="shared" si="14"/>
        <v>0.84615384615384626</v>
      </c>
      <c r="I55">
        <f t="shared" si="15"/>
        <v>0.42307692307692313</v>
      </c>
      <c r="J55">
        <f t="shared" ca="1" si="16"/>
        <v>5.4083534063536793E-3</v>
      </c>
      <c r="K55">
        <f ca="1">'BAU adoption'!E54</f>
        <v>4.1528819737747358E-2</v>
      </c>
      <c r="L55">
        <f ca="1"/>
        <v>0.33650000000000002</v>
      </c>
      <c r="N55">
        <f t="shared" si="18"/>
        <v>46.628968253968253</v>
      </c>
      <c r="O55">
        <f t="shared" si="18"/>
        <v>4</v>
      </c>
      <c r="P55">
        <f t="shared" si="18"/>
        <v>300</v>
      </c>
      <c r="Q55">
        <f t="shared" si="18"/>
        <v>816908</v>
      </c>
      <c r="R55">
        <f t="shared" si="18"/>
        <v>8706</v>
      </c>
      <c r="T55">
        <f t="shared" si="6"/>
        <v>1026</v>
      </c>
      <c r="U55">
        <f t="shared" si="7"/>
        <v>513.99999999999989</v>
      </c>
      <c r="V55">
        <f t="shared" si="8"/>
        <v>256</v>
      </c>
      <c r="W55">
        <f t="shared" si="9"/>
        <v>513.99999999999989</v>
      </c>
      <c r="X55">
        <f t="shared" si="10"/>
        <v>799</v>
      </c>
      <c r="Y55">
        <f t="shared" si="11"/>
        <v>1608.1418662781396</v>
      </c>
      <c r="Z55">
        <f t="shared" si="12"/>
        <v>1504.4617601538462</v>
      </c>
      <c r="AA55">
        <f t="shared" ca="1" si="13"/>
        <v>73.838252374265565</v>
      </c>
    </row>
    <row r="56" spans="1:27" x14ac:dyDescent="0.2">
      <c r="A56">
        <f t="shared" si="19"/>
        <v>2042</v>
      </c>
      <c r="B56">
        <f>'HECO 2013'!B37*1000000*$O56/($Q56*$R56)</f>
        <v>0.59786267905510582</v>
      </c>
      <c r="C56">
        <f>'HECO 2013'!C37*1000000*$O56/($Q56*$R56)</f>
        <v>0.29977498394766827</v>
      </c>
      <c r="D56">
        <f>'HECO 2013'!D37*1000000*$O56/($Q56*$R56)</f>
        <v>0.14904384755371874</v>
      </c>
      <c r="E56">
        <f>'HECO 2013'!E37*1000000*$O56/($Q56*$R56)</f>
        <v>0.29977498394766827</v>
      </c>
      <c r="F56">
        <f>'HECO 2013'!F37*1000000*$O56/($Q56*$R56)</f>
        <v>0.47300330487802816</v>
      </c>
      <c r="G56">
        <f t="shared" si="4"/>
        <v>0.93345426178581536</v>
      </c>
      <c r="H56">
        <f t="shared" si="14"/>
        <v>0.88461538461538458</v>
      </c>
      <c r="I56">
        <f t="shared" si="15"/>
        <v>0.44230769230769229</v>
      </c>
      <c r="J56">
        <f t="shared" ca="1" si="16"/>
        <v>5.4083534063536793E-3</v>
      </c>
      <c r="K56">
        <f ca="1">'BAU adoption'!E55</f>
        <v>4.2936151339864316E-2</v>
      </c>
      <c r="L56">
        <f ca="1"/>
        <v>0.38100000000000001</v>
      </c>
      <c r="N56">
        <f t="shared" ref="N56:R64" si="20">N$7+($A56-$M$7)*N$9</f>
        <v>47.47172619047619</v>
      </c>
      <c r="O56">
        <f t="shared" si="20"/>
        <v>4</v>
      </c>
      <c r="P56">
        <f t="shared" si="20"/>
        <v>275</v>
      </c>
      <c r="Q56">
        <f t="shared" si="20"/>
        <v>816908</v>
      </c>
      <c r="R56">
        <f t="shared" si="20"/>
        <v>8706</v>
      </c>
      <c r="T56">
        <f t="shared" si="6"/>
        <v>1063</v>
      </c>
      <c r="U56">
        <f t="shared" si="7"/>
        <v>532.99999999999989</v>
      </c>
      <c r="V56">
        <f t="shared" si="8"/>
        <v>264.99999999999994</v>
      </c>
      <c r="W56">
        <f t="shared" si="9"/>
        <v>532.99999999999989</v>
      </c>
      <c r="X56">
        <f t="shared" si="10"/>
        <v>840.99999999999989</v>
      </c>
      <c r="Y56">
        <f t="shared" si="11"/>
        <v>1659.6819220201962</v>
      </c>
      <c r="Z56">
        <f t="shared" si="12"/>
        <v>1572.8463856153846</v>
      </c>
      <c r="AA56">
        <f t="shared" ca="1" si="13"/>
        <v>76.340488331550404</v>
      </c>
    </row>
    <row r="57" spans="1:27" x14ac:dyDescent="0.2">
      <c r="A57">
        <f t="shared" si="19"/>
        <v>2043</v>
      </c>
      <c r="B57">
        <f>'HECO 2013'!B38*1000000*$O57/($Q57*$R57)</f>
        <v>0.61754771552446486</v>
      </c>
      <c r="C57">
        <f>'HECO 2013'!C38*1000000*$O57/($Q57*$R57)</f>
        <v>0.30933628737564267</v>
      </c>
      <c r="D57">
        <f>'HECO 2013'!D38*1000000*$O57/($Q57*$R57)</f>
        <v>0.15410571407441109</v>
      </c>
      <c r="E57">
        <f>'HECO 2013'!E38*1000000*$O57/($Q57*$R57)</f>
        <v>0.30933628737564267</v>
      </c>
      <c r="F57">
        <f>'HECO 2013'!F38*1000000*$O57/($Q57*$R57)</f>
        <v>0.49662534864125907</v>
      </c>
      <c r="G57">
        <f t="shared" si="4"/>
        <v>0.95886769026535146</v>
      </c>
      <c r="H57">
        <f t="shared" si="14"/>
        <v>0.92307692307692313</v>
      </c>
      <c r="I57">
        <f t="shared" si="15"/>
        <v>0.46153846153846156</v>
      </c>
      <c r="J57">
        <f t="shared" ca="1" si="16"/>
        <v>5.4083534063536793E-3</v>
      </c>
      <c r="K57">
        <f ca="1">'BAU adoption'!E56</f>
        <v>4.4343482941981267E-2</v>
      </c>
      <c r="L57">
        <f ca="1"/>
        <v>0.43049999999999999</v>
      </c>
      <c r="N57">
        <f t="shared" si="20"/>
        <v>48.314484126984127</v>
      </c>
      <c r="O57">
        <f t="shared" si="20"/>
        <v>4</v>
      </c>
      <c r="P57">
        <f t="shared" si="20"/>
        <v>250</v>
      </c>
      <c r="Q57">
        <f t="shared" si="20"/>
        <v>816908</v>
      </c>
      <c r="R57">
        <f t="shared" si="20"/>
        <v>8706</v>
      </c>
      <c r="T57">
        <f t="shared" si="6"/>
        <v>1098</v>
      </c>
      <c r="U57">
        <f t="shared" si="7"/>
        <v>550</v>
      </c>
      <c r="V57">
        <f t="shared" si="8"/>
        <v>274</v>
      </c>
      <c r="W57">
        <f t="shared" si="9"/>
        <v>550</v>
      </c>
      <c r="X57">
        <f t="shared" si="10"/>
        <v>883</v>
      </c>
      <c r="Y57">
        <f t="shared" si="11"/>
        <v>1704.8670045151296</v>
      </c>
      <c r="Z57">
        <f t="shared" si="12"/>
        <v>1641.2310110769231</v>
      </c>
      <c r="AA57">
        <f t="shared" ca="1" si="13"/>
        <v>78.842724288835228</v>
      </c>
    </row>
    <row r="58" spans="1:27" x14ac:dyDescent="0.2">
      <c r="A58">
        <f t="shared" si="19"/>
        <v>2044</v>
      </c>
      <c r="B58">
        <f>'HECO 2013'!B39*1000000*$O58/($Q58*$R58)</f>
        <v>0.63498303354018293</v>
      </c>
      <c r="C58">
        <f>'HECO 2013'!C39*1000000*$O58/($Q58*$R58)</f>
        <v>0.31833516119020683</v>
      </c>
      <c r="D58">
        <f>'HECO 2013'!D39*1000000*$O58/($Q58*$R58)</f>
        <v>0.15860515098169317</v>
      </c>
      <c r="E58">
        <f>'HECO 2013'!E39*1000000*$O58/($Q58*$R58)</f>
        <v>0.31833516119020683</v>
      </c>
      <c r="F58">
        <f>'HECO 2013'!F39*1000000*$O58/($Q58*$R58)</f>
        <v>0.52137225163131051</v>
      </c>
      <c r="G58">
        <f t="shared" si="4"/>
        <v>0.98095294640322861</v>
      </c>
      <c r="H58">
        <f t="shared" si="14"/>
        <v>0.96153846153846145</v>
      </c>
      <c r="I58">
        <f t="shared" si="15"/>
        <v>0.48076923076923073</v>
      </c>
      <c r="J58">
        <f t="shared" ca="1" si="16"/>
        <v>5.4083534063536793E-3</v>
      </c>
      <c r="K58">
        <f ca="1">'BAU adoption'!E57</f>
        <v>4.5750814544098219E-2</v>
      </c>
      <c r="L58">
        <f ca="1"/>
        <v>0.48549999999999999</v>
      </c>
      <c r="N58">
        <f t="shared" si="20"/>
        <v>49.157242063492063</v>
      </c>
      <c r="O58">
        <f t="shared" si="20"/>
        <v>4</v>
      </c>
      <c r="P58">
        <f t="shared" si="20"/>
        <v>225</v>
      </c>
      <c r="Q58">
        <f t="shared" si="20"/>
        <v>816908</v>
      </c>
      <c r="R58">
        <f t="shared" si="20"/>
        <v>8706</v>
      </c>
      <c r="T58">
        <f t="shared" si="6"/>
        <v>1129</v>
      </c>
      <c r="U58">
        <f t="shared" si="7"/>
        <v>566</v>
      </c>
      <c r="V58">
        <f t="shared" si="8"/>
        <v>282</v>
      </c>
      <c r="W58">
        <f t="shared" si="9"/>
        <v>566</v>
      </c>
      <c r="X58">
        <f t="shared" si="10"/>
        <v>927</v>
      </c>
      <c r="Y58">
        <f t="shared" si="11"/>
        <v>1744.1345957146125</v>
      </c>
      <c r="Z58">
        <f t="shared" si="12"/>
        <v>1709.6156365384616</v>
      </c>
      <c r="AA58">
        <f t="shared" ca="1" si="13"/>
        <v>81.344960246120039</v>
      </c>
    </row>
    <row r="59" spans="1:27" x14ac:dyDescent="0.2">
      <c r="A59">
        <f t="shared" si="19"/>
        <v>2045</v>
      </c>
      <c r="B59">
        <f>'HECO 2013'!B40*1000000*$O59/($Q59*$R59)</f>
        <v>0.65073106271567016</v>
      </c>
      <c r="C59">
        <f>'HECO 2013'!C40*1000000*$O59/($Q59*$R59)</f>
        <v>0.3262091757779505</v>
      </c>
      <c r="D59">
        <f>'HECO 2013'!D40*1000000*$O59/($Q59*$R59)</f>
        <v>0.16254215827556498</v>
      </c>
      <c r="E59">
        <f>'HECO 2013'!E40*1000000*$O59/($Q59*$R59)</f>
        <v>0.3262091757779505</v>
      </c>
      <c r="F59">
        <f>'HECO 2013'!F40*1000000*$O59/($Q59*$R59)</f>
        <v>0.54611915462136196</v>
      </c>
      <c r="G59">
        <f t="shared" si="4"/>
        <v>1</v>
      </c>
      <c r="H59">
        <f t="shared" si="14"/>
        <v>1</v>
      </c>
      <c r="I59">
        <f t="shared" si="15"/>
        <v>0.5</v>
      </c>
      <c r="J59">
        <f t="shared" ca="1" si="16"/>
        <v>5.4083534063536793E-3</v>
      </c>
      <c r="K59">
        <f ca="1">'BAU adoption'!E58</f>
        <v>4.715814614621517E-2</v>
      </c>
      <c r="L59">
        <f ca="1"/>
        <v>0.54500000000000004</v>
      </c>
      <c r="N59">
        <f t="shared" si="20"/>
        <v>50</v>
      </c>
      <c r="O59">
        <f t="shared" si="20"/>
        <v>4</v>
      </c>
      <c r="P59">
        <f t="shared" si="20"/>
        <v>200</v>
      </c>
      <c r="Q59">
        <f t="shared" si="20"/>
        <v>816908</v>
      </c>
      <c r="R59">
        <f t="shared" si="20"/>
        <v>8706</v>
      </c>
      <c r="T59">
        <f t="shared" si="6"/>
        <v>1157</v>
      </c>
      <c r="U59">
        <f t="shared" si="7"/>
        <v>580</v>
      </c>
      <c r="V59">
        <f t="shared" si="8"/>
        <v>289</v>
      </c>
      <c r="W59">
        <f t="shared" si="9"/>
        <v>580</v>
      </c>
      <c r="X59">
        <f t="shared" si="10"/>
        <v>971</v>
      </c>
      <c r="Y59">
        <f t="shared" si="11"/>
        <v>1778.000262</v>
      </c>
      <c r="Z59">
        <f t="shared" si="12"/>
        <v>1778.000262</v>
      </c>
      <c r="AA59">
        <f t="shared" ca="1" si="13"/>
        <v>83.847196203404863</v>
      </c>
    </row>
    <row r="60" spans="1:27" x14ac:dyDescent="0.2">
      <c r="A60">
        <f t="shared" si="19"/>
        <v>2046</v>
      </c>
      <c r="B60">
        <f>'HECO 2013'!B41*1000000*$O60/($Q60*$R60)</f>
        <v>0.66479180305092667</v>
      </c>
      <c r="C60">
        <f>'HECO 2013'!C41*1000000*$O60/($Q60*$R60)</f>
        <v>0.33295833113887358</v>
      </c>
      <c r="D60">
        <f>'HECO 2013'!D41*1000000*$O60/($Q60*$R60)</f>
        <v>0.16591673595602655</v>
      </c>
      <c r="E60">
        <f>'HECO 2013'!E41*1000000*$O60/($Q60*$R60)</f>
        <v>0.33295833113887358</v>
      </c>
      <c r="F60">
        <f>'HECO 2013'!F41*1000000*$O60/($Q60*$R60)</f>
        <v>0.57086605761141329</v>
      </c>
      <c r="G60">
        <f t="shared" si="4"/>
        <v>1.0163190068228189</v>
      </c>
      <c r="H60">
        <f t="shared" si="14"/>
        <v>1.0384615384615385</v>
      </c>
      <c r="I60">
        <f t="shared" si="15"/>
        <v>0.51923076923076927</v>
      </c>
      <c r="J60">
        <f t="shared" ca="1" si="16"/>
        <v>5.4083534063536793E-3</v>
      </c>
      <c r="K60">
        <f ca="1">'BAU adoption'!E59</f>
        <v>4.8565477748332121E-2</v>
      </c>
      <c r="L60">
        <f ca="1"/>
        <v>0.59450000000000003</v>
      </c>
      <c r="N60">
        <f t="shared" si="20"/>
        <v>50.842757936507937</v>
      </c>
      <c r="O60">
        <f t="shared" si="20"/>
        <v>4</v>
      </c>
      <c r="P60">
        <f t="shared" si="20"/>
        <v>175</v>
      </c>
      <c r="Q60">
        <f t="shared" si="20"/>
        <v>816908</v>
      </c>
      <c r="R60">
        <f t="shared" si="20"/>
        <v>8706</v>
      </c>
      <c r="T60">
        <f t="shared" si="6"/>
        <v>1182</v>
      </c>
      <c r="U60">
        <f t="shared" si="7"/>
        <v>592</v>
      </c>
      <c r="V60">
        <f t="shared" si="8"/>
        <v>295</v>
      </c>
      <c r="W60">
        <f t="shared" si="9"/>
        <v>592</v>
      </c>
      <c r="X60">
        <f t="shared" si="10"/>
        <v>1014.9999999999999</v>
      </c>
      <c r="Y60">
        <f t="shared" si="11"/>
        <v>1807.0154604065522</v>
      </c>
      <c r="Z60">
        <f t="shared" si="12"/>
        <v>1846.3848874615385</v>
      </c>
      <c r="AA60">
        <f t="shared" ca="1" si="13"/>
        <v>86.349432160689688</v>
      </c>
    </row>
    <row r="61" spans="1:27" x14ac:dyDescent="0.2">
      <c r="A61">
        <f t="shared" si="19"/>
        <v>2047</v>
      </c>
      <c r="B61">
        <f>'HECO 2013'!B42*1000000*$O61/($Q61*$R61)</f>
        <v>0.67660282493254209</v>
      </c>
      <c r="C61">
        <f>'HECO 2013'!C42*1000000*$O61/($Q61*$R61)</f>
        <v>0.33858262727297617</v>
      </c>
      <c r="D61">
        <f>'HECO 2013'!D42*1000000*$O61/($Q61*$R61)</f>
        <v>0.16872888402307784</v>
      </c>
      <c r="E61">
        <f>'HECO 2013'!E42*1000000*$O61/($Q61*$R61)</f>
        <v>0.33858262727297617</v>
      </c>
      <c r="F61">
        <f>'HECO 2013'!F42*1000000*$O61/($Q61*$R61)</f>
        <v>0.59561296060146474</v>
      </c>
      <c r="G61">
        <f t="shared" si="4"/>
        <v>1.0302220091717662</v>
      </c>
      <c r="H61">
        <f t="shared" si="14"/>
        <v>1.0769230769230769</v>
      </c>
      <c r="I61">
        <f t="shared" si="15"/>
        <v>0.53846153846153844</v>
      </c>
      <c r="J61">
        <f t="shared" ca="1" si="16"/>
        <v>5.4083534063536793E-3</v>
      </c>
      <c r="K61">
        <f ca="1">'BAU adoption'!E60</f>
        <v>4.9972809350449079E-2</v>
      </c>
      <c r="L61">
        <f ca="1"/>
        <v>0.63900000000000001</v>
      </c>
      <c r="N61">
        <f t="shared" si="20"/>
        <v>51.685515873015873</v>
      </c>
      <c r="O61">
        <f t="shared" si="20"/>
        <v>4</v>
      </c>
      <c r="P61">
        <f t="shared" si="20"/>
        <v>150</v>
      </c>
      <c r="Q61">
        <f t="shared" si="20"/>
        <v>816908</v>
      </c>
      <c r="R61">
        <f t="shared" si="20"/>
        <v>8706</v>
      </c>
      <c r="T61">
        <f t="shared" si="6"/>
        <v>1203</v>
      </c>
      <c r="U61">
        <f t="shared" si="7"/>
        <v>602</v>
      </c>
      <c r="V61">
        <f t="shared" si="8"/>
        <v>300</v>
      </c>
      <c r="W61">
        <f t="shared" si="9"/>
        <v>602</v>
      </c>
      <c r="X61">
        <f t="shared" si="10"/>
        <v>1059</v>
      </c>
      <c r="Y61">
        <f t="shared" si="11"/>
        <v>1831.7350022255666</v>
      </c>
      <c r="Z61">
        <f t="shared" si="12"/>
        <v>1914.7695129230769</v>
      </c>
      <c r="AA61">
        <f t="shared" ca="1" si="13"/>
        <v>88.851668117974526</v>
      </c>
    </row>
    <row r="62" spans="1:27" x14ac:dyDescent="0.2">
      <c r="A62">
        <f t="shared" si="19"/>
        <v>2048</v>
      </c>
      <c r="B62">
        <f>'HECO 2013'!B43*1000000*$O62/($Q62*$R62)</f>
        <v>0.68616412836051655</v>
      </c>
      <c r="C62">
        <f>'HECO 2013'!C43*1000000*$O62/($Q62*$R62)</f>
        <v>0.34364449379366852</v>
      </c>
      <c r="D62">
        <f>'HECO 2013'!D43*1000000*$O62/($Q62*$R62)</f>
        <v>0.17097860247671887</v>
      </c>
      <c r="E62">
        <f>'HECO 2013'!E43*1000000*$O62/($Q62*$R62)</f>
        <v>0.34364449379366852</v>
      </c>
      <c r="F62">
        <f>'HECO 2013'!F43*1000000*$O62/($Q62*$R62)</f>
        <v>0.62035986359151618</v>
      </c>
      <c r="G62">
        <f t="shared" si="4"/>
        <v>1.0420098543460035</v>
      </c>
      <c r="H62">
        <f t="shared" si="14"/>
        <v>1.1153846153846154</v>
      </c>
      <c r="I62">
        <f t="shared" si="15"/>
        <v>0.55769230769230771</v>
      </c>
      <c r="J62">
        <f t="shared" ca="1" si="16"/>
        <v>5.4083534063536793E-3</v>
      </c>
      <c r="K62">
        <f ca="1">'BAU adoption'!E61</f>
        <v>5.1380140952566031E-2</v>
      </c>
      <c r="L62">
        <f ca="1"/>
        <v>0.68</v>
      </c>
      <c r="N62">
        <f t="shared" si="20"/>
        <v>52.52827380952381</v>
      </c>
      <c r="O62">
        <f t="shared" si="20"/>
        <v>4</v>
      </c>
      <c r="P62">
        <f t="shared" si="20"/>
        <v>125</v>
      </c>
      <c r="Q62">
        <f t="shared" si="20"/>
        <v>816908</v>
      </c>
      <c r="R62">
        <f t="shared" si="20"/>
        <v>8706</v>
      </c>
      <c r="T62">
        <f t="shared" si="6"/>
        <v>1220</v>
      </c>
      <c r="U62">
        <f t="shared" si="7"/>
        <v>611</v>
      </c>
      <c r="V62">
        <f t="shared" si="8"/>
        <v>304</v>
      </c>
      <c r="W62">
        <f t="shared" si="9"/>
        <v>611</v>
      </c>
      <c r="X62">
        <f t="shared" si="10"/>
        <v>1103</v>
      </c>
      <c r="Y62">
        <f t="shared" si="11"/>
        <v>1852.6937940337762</v>
      </c>
      <c r="Z62">
        <f t="shared" si="12"/>
        <v>1983.1541383846154</v>
      </c>
      <c r="AA62">
        <f t="shared" ca="1" si="13"/>
        <v>91.353904075259322</v>
      </c>
    </row>
    <row r="63" spans="1:27" x14ac:dyDescent="0.2">
      <c r="A63">
        <f t="shared" si="19"/>
        <v>2049</v>
      </c>
      <c r="B63">
        <f>'HECO 2013'!B44*1000000*$O63/($Q63*$R63)</f>
        <v>0.6946005725616704</v>
      </c>
      <c r="C63">
        <f>'HECO 2013'!C44*1000000*$O63/($Q63*$R63)</f>
        <v>0.34758150108754032</v>
      </c>
      <c r="D63">
        <f>'HECO 2013'!D44*1000000*$O63/($Q63*$R63)</f>
        <v>0.17322832093035992</v>
      </c>
      <c r="E63">
        <f>'HECO 2013'!E44*1000000*$O63/($Q63*$R63)</f>
        <v>0.34758150108754032</v>
      </c>
      <c r="F63">
        <f>'HECO 2013'!F44*1000000*$O63/($Q63*$R63)</f>
        <v>0.64510676658156763</v>
      </c>
      <c r="G63">
        <f t="shared" si="4"/>
        <v>1.0519636421417713</v>
      </c>
      <c r="H63">
        <f t="shared" si="14"/>
        <v>1.1538461538461537</v>
      </c>
      <c r="I63">
        <f t="shared" si="15"/>
        <v>0.57692307692307687</v>
      </c>
      <c r="J63">
        <f t="shared" ca="1" si="16"/>
        <v>5.4083534063536793E-3</v>
      </c>
      <c r="K63">
        <f ca="1">'BAU adoption'!E62</f>
        <v>5.2787472554682982E-2</v>
      </c>
      <c r="L63">
        <f ca="1"/>
        <v>0.71500000000000008</v>
      </c>
      <c r="N63">
        <f t="shared" si="20"/>
        <v>53.371031746031747</v>
      </c>
      <c r="O63">
        <f t="shared" si="20"/>
        <v>4</v>
      </c>
      <c r="P63">
        <f t="shared" si="20"/>
        <v>100</v>
      </c>
      <c r="Q63">
        <f t="shared" si="20"/>
        <v>816908</v>
      </c>
      <c r="R63">
        <f t="shared" si="20"/>
        <v>8706</v>
      </c>
      <c r="T63">
        <f t="shared" si="6"/>
        <v>1235</v>
      </c>
      <c r="U63">
        <f t="shared" si="7"/>
        <v>618</v>
      </c>
      <c r="V63">
        <f t="shared" si="8"/>
        <v>308</v>
      </c>
      <c r="W63">
        <f t="shared" si="9"/>
        <v>618</v>
      </c>
      <c r="X63">
        <f t="shared" si="10"/>
        <v>1147.0000000000002</v>
      </c>
      <c r="Y63">
        <f t="shared" si="11"/>
        <v>1870.3916313425436</v>
      </c>
      <c r="Z63">
        <f t="shared" si="12"/>
        <v>2051.5387638461539</v>
      </c>
      <c r="AA63">
        <f t="shared" ca="1" si="13"/>
        <v>93.856140032544147</v>
      </c>
    </row>
    <row r="64" spans="1:27" x14ac:dyDescent="0.2">
      <c r="A64">
        <f t="shared" si="19"/>
        <v>2050</v>
      </c>
      <c r="B64">
        <f>'HECO 2013'!B45*1000000*$O64/($Q64*$R64)</f>
        <v>0.70134972792259354</v>
      </c>
      <c r="C64">
        <f>'HECO 2013'!C45*1000000*$O64/($Q64*$R64)</f>
        <v>0.35151850838141213</v>
      </c>
      <c r="D64">
        <f>'HECO 2013'!D45*1000000*$O64/($Q64*$R64)</f>
        <v>0.17491560977059067</v>
      </c>
      <c r="E64">
        <f>'HECO 2013'!E45*1000000*$O64/($Q64*$R64)</f>
        <v>0.35151850838141213</v>
      </c>
      <c r="F64">
        <f>'HECO 2013'!F45*1000000*$O64/($Q64*$R64)</f>
        <v>0.66985366957161896</v>
      </c>
      <c r="G64">
        <f t="shared" si="4"/>
        <v>1.0603398157391453</v>
      </c>
      <c r="H64">
        <f t="shared" si="14"/>
        <v>1.1923076923076923</v>
      </c>
      <c r="I64">
        <f t="shared" si="15"/>
        <v>0.59615384615384615</v>
      </c>
      <c r="J64">
        <f t="shared" ca="1" si="16"/>
        <v>5.4083534063536793E-3</v>
      </c>
      <c r="K64">
        <f ca="1">'BAU adoption'!E63</f>
        <v>5.4194804156799933E-2</v>
      </c>
      <c r="L64">
        <f ca="1"/>
        <v>0.74399999999999999</v>
      </c>
      <c r="N64">
        <f t="shared" si="20"/>
        <v>54.213789682539684</v>
      </c>
      <c r="O64">
        <f t="shared" si="20"/>
        <v>4</v>
      </c>
      <c r="P64">
        <f t="shared" si="20"/>
        <v>75</v>
      </c>
      <c r="Q64">
        <f t="shared" si="20"/>
        <v>816908</v>
      </c>
      <c r="R64">
        <f t="shared" si="20"/>
        <v>8706</v>
      </c>
      <c r="T64">
        <f t="shared" si="6"/>
        <v>1247</v>
      </c>
      <c r="U64">
        <f t="shared" si="7"/>
        <v>625</v>
      </c>
      <c r="V64">
        <f t="shared" si="8"/>
        <v>311</v>
      </c>
      <c r="W64">
        <f t="shared" si="9"/>
        <v>625</v>
      </c>
      <c r="X64">
        <f t="shared" si="10"/>
        <v>1191</v>
      </c>
      <c r="Y64">
        <f t="shared" si="11"/>
        <v>1885.284470193232</v>
      </c>
      <c r="Z64">
        <f t="shared" si="12"/>
        <v>2119.9233893076921</v>
      </c>
      <c r="AA64">
        <f t="shared" ca="1" si="13"/>
        <v>96.358375989828971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5"/>
  <sheetViews>
    <sheetView workbookViewId="0"/>
  </sheetViews>
  <sheetFormatPr baseColWidth="10" defaultRowHeight="16" x14ac:dyDescent="0.2"/>
  <sheetData>
    <row r="1" spans="1:17" x14ac:dyDescent="0.2">
      <c r="A1" t="s">
        <v>7</v>
      </c>
    </row>
    <row r="2" spans="1:17" x14ac:dyDescent="0.2">
      <c r="A2" t="s">
        <v>11</v>
      </c>
    </row>
    <row r="3" spans="1:17" x14ac:dyDescent="0.2">
      <c r="A3" t="s">
        <v>12</v>
      </c>
    </row>
    <row r="5" spans="1:17" x14ac:dyDescent="0.2">
      <c r="B5" t="s">
        <v>10</v>
      </c>
      <c r="O5" t="s">
        <v>35</v>
      </c>
    </row>
    <row r="6" spans="1:17" x14ac:dyDescent="0.2">
      <c r="A6" t="s">
        <v>3</v>
      </c>
      <c r="B6" t="s">
        <v>0</v>
      </c>
      <c r="C6" t="s">
        <v>1</v>
      </c>
      <c r="D6" t="s">
        <v>2</v>
      </c>
      <c r="E6" t="s">
        <v>4</v>
      </c>
      <c r="F6" t="s">
        <v>59</v>
      </c>
      <c r="G6" t="s">
        <v>13</v>
      </c>
      <c r="I6" t="str">
        <f>B6</f>
        <v>Blazing a Bold Frontier</v>
      </c>
      <c r="J6" t="str">
        <f t="shared" ref="J6:L6" si="0">C6</f>
        <v>Stuck in the Middle</v>
      </c>
      <c r="K6" t="str">
        <f t="shared" si="0"/>
        <v>No Burning Desire</v>
      </c>
      <c r="L6" t="str">
        <f t="shared" si="0"/>
        <v>Moved by Passion</v>
      </c>
      <c r="O6" t="s">
        <v>36</v>
      </c>
    </row>
    <row r="7" spans="1:17" x14ac:dyDescent="0.2">
      <c r="A7">
        <v>2012</v>
      </c>
      <c r="B7">
        <v>4</v>
      </c>
      <c r="C7">
        <v>2</v>
      </c>
      <c r="D7">
        <v>1</v>
      </c>
      <c r="E7">
        <v>2</v>
      </c>
      <c r="F7" s="3">
        <f t="shared" ref="F7:F9" si="1">B7</f>
        <v>4</v>
      </c>
      <c r="G7" s="3">
        <f ca="1">'BAU adoption'!D25</f>
        <v>1.4756670000000001</v>
      </c>
      <c r="I7">
        <f>ABS(B7-outputs!T26)</f>
        <v>0</v>
      </c>
      <c r="J7">
        <f>ABS(C7-outputs!U26)</f>
        <v>0</v>
      </c>
      <c r="K7">
        <f>ABS(D7-outputs!V26)</f>
        <v>0</v>
      </c>
      <c r="L7">
        <f>ABS(E7-outputs!W26)</f>
        <v>0</v>
      </c>
      <c r="O7" t="s">
        <v>5</v>
      </c>
      <c r="P7">
        <v>2007</v>
      </c>
      <c r="Q7">
        <v>2035</v>
      </c>
    </row>
    <row r="8" spans="1:17" x14ac:dyDescent="0.2">
      <c r="A8">
        <v>2013</v>
      </c>
      <c r="B8">
        <v>7</v>
      </c>
      <c r="C8">
        <v>4</v>
      </c>
      <c r="D8">
        <v>2</v>
      </c>
      <c r="E8">
        <v>4</v>
      </c>
      <c r="F8" s="3">
        <f t="shared" si="1"/>
        <v>7</v>
      </c>
      <c r="G8" s="3">
        <f ca="1">'BAU adoption'!D26</f>
        <v>2.8446855000000002</v>
      </c>
      <c r="I8">
        <f>ABS(B8-outputs!T27)</f>
        <v>0</v>
      </c>
      <c r="J8">
        <f>ABS(C8-outputs!U27)</f>
        <v>0</v>
      </c>
      <c r="K8">
        <f>ABS(D8-outputs!V27)</f>
        <v>0</v>
      </c>
      <c r="L8">
        <f>ABS(E8-outputs!W27)</f>
        <v>0</v>
      </c>
      <c r="O8" t="s">
        <v>6</v>
      </c>
      <c r="P8" s="1">
        <v>13142000</v>
      </c>
      <c r="Q8" s="1">
        <v>15610300</v>
      </c>
    </row>
    <row r="9" spans="1:17" x14ac:dyDescent="0.2">
      <c r="A9">
        <v>2014</v>
      </c>
      <c r="B9">
        <v>12</v>
      </c>
      <c r="C9">
        <v>6</v>
      </c>
      <c r="D9">
        <v>3</v>
      </c>
      <c r="E9">
        <v>6</v>
      </c>
      <c r="F9" s="3">
        <f t="shared" si="1"/>
        <v>12</v>
      </c>
      <c r="G9" s="3">
        <f ca="1">'BAU adoption'!D27</f>
        <v>4.3573529999999998</v>
      </c>
      <c r="I9">
        <f>ABS(B9-outputs!T28)</f>
        <v>0</v>
      </c>
      <c r="J9">
        <f>ABS(C9-outputs!U28)</f>
        <v>0</v>
      </c>
      <c r="K9">
        <f>ABS(D9-outputs!V28)</f>
        <v>0</v>
      </c>
      <c r="L9">
        <f>ABS(E9-outputs!W28)</f>
        <v>0</v>
      </c>
      <c r="O9" t="s">
        <v>8</v>
      </c>
      <c r="P9">
        <v>4</v>
      </c>
      <c r="Q9">
        <v>4</v>
      </c>
    </row>
    <row r="10" spans="1:17" x14ac:dyDescent="0.2">
      <c r="A10">
        <v>2015</v>
      </c>
      <c r="B10">
        <v>17</v>
      </c>
      <c r="C10">
        <v>9</v>
      </c>
      <c r="D10">
        <v>4</v>
      </c>
      <c r="E10">
        <v>9</v>
      </c>
      <c r="F10" s="3">
        <f>B10</f>
        <v>17</v>
      </c>
      <c r="G10" s="3">
        <f ca="1">'BAU adoption'!D28</f>
        <v>5.8330200000000003</v>
      </c>
      <c r="I10">
        <f>ABS(B10-outputs!T29)</f>
        <v>0</v>
      </c>
      <c r="J10">
        <f>ABS(C10-outputs!U29)</f>
        <v>0</v>
      </c>
      <c r="K10">
        <f>ABS(D10-outputs!V29)</f>
        <v>0</v>
      </c>
      <c r="L10">
        <f>ABS(E10-outputs!W29)</f>
        <v>0</v>
      </c>
      <c r="O10" t="s">
        <v>9</v>
      </c>
      <c r="P10">
        <f>P8*365/P9/1000000</f>
        <v>1199.2075</v>
      </c>
      <c r="Q10">
        <f>Q8*365/Q9/1000000</f>
        <v>1424.439875</v>
      </c>
    </row>
    <row r="11" spans="1:17" x14ac:dyDescent="0.2">
      <c r="A11">
        <v>2016</v>
      </c>
      <c r="B11">
        <v>27</v>
      </c>
      <c r="C11">
        <v>13</v>
      </c>
      <c r="D11">
        <v>7</v>
      </c>
      <c r="E11">
        <v>13</v>
      </c>
      <c r="F11">
        <v>31</v>
      </c>
      <c r="G11" s="3">
        <f ca="1">'BAU adoption'!D29</f>
        <v>7.5111015000000005</v>
      </c>
      <c r="H11" s="4"/>
      <c r="I11">
        <f>ABS(B11-outputs!T30)</f>
        <v>0</v>
      </c>
      <c r="J11">
        <f>ABS(C11-outputs!U30)</f>
        <v>0</v>
      </c>
      <c r="K11">
        <f>ABS(D11-outputs!V30)</f>
        <v>0</v>
      </c>
      <c r="L11">
        <f>ABS(E11-outputs!W30)</f>
        <v>0</v>
      </c>
      <c r="O11" s="2"/>
      <c r="P11" s="2"/>
    </row>
    <row r="12" spans="1:17" x14ac:dyDescent="0.2">
      <c r="A12">
        <v>2017</v>
      </c>
      <c r="B12">
        <v>39</v>
      </c>
      <c r="C12">
        <v>20</v>
      </c>
      <c r="D12">
        <v>10</v>
      </c>
      <c r="E12">
        <v>20</v>
      </c>
      <c r="F12">
        <v>42</v>
      </c>
      <c r="G12" s="3">
        <f ca="1">'BAU adoption'!D30</f>
        <v>10.379728500000001</v>
      </c>
      <c r="H12" s="4"/>
      <c r="I12">
        <f>ABS(B12-outputs!T31)</f>
        <v>0</v>
      </c>
      <c r="J12">
        <f>ABS(C12-outputs!U31)</f>
        <v>0</v>
      </c>
      <c r="K12">
        <f>ABS(D12-outputs!V31)</f>
        <v>0</v>
      </c>
      <c r="L12">
        <f>ABS(E12-outputs!W31)</f>
        <v>0</v>
      </c>
      <c r="O12" s="2"/>
      <c r="P12" s="2"/>
    </row>
    <row r="13" spans="1:17" x14ac:dyDescent="0.2">
      <c r="A13">
        <v>2018</v>
      </c>
      <c r="B13">
        <v>54</v>
      </c>
      <c r="C13">
        <v>27</v>
      </c>
      <c r="D13">
        <v>14</v>
      </c>
      <c r="E13">
        <v>27</v>
      </c>
      <c r="F13">
        <v>55</v>
      </c>
      <c r="G13" s="3">
        <f ca="1">'BAU adoption'!D31</f>
        <v>12.7216425</v>
      </c>
      <c r="H13" s="4"/>
      <c r="I13">
        <f>ABS(B13-outputs!T32)</f>
        <v>0</v>
      </c>
      <c r="J13">
        <f>ABS(C13-outputs!U32)</f>
        <v>0</v>
      </c>
      <c r="K13">
        <f>ABS(D13-outputs!V32)</f>
        <v>0</v>
      </c>
      <c r="L13">
        <f>ABS(E13-outputs!W32)</f>
        <v>0</v>
      </c>
      <c r="O13" s="2"/>
      <c r="P13" s="2"/>
    </row>
    <row r="14" spans="1:17" x14ac:dyDescent="0.2">
      <c r="A14">
        <v>2019</v>
      </c>
      <c r="B14">
        <v>71</v>
      </c>
      <c r="C14">
        <v>36</v>
      </c>
      <c r="D14">
        <v>18</v>
      </c>
      <c r="E14">
        <v>36</v>
      </c>
      <c r="F14">
        <v>69</v>
      </c>
      <c r="G14" s="3">
        <f ca="1">'BAU adoption'!D32</f>
        <v>14.6761395</v>
      </c>
      <c r="H14" s="4"/>
      <c r="I14">
        <f>ABS(B14-outputs!T33)</f>
        <v>0</v>
      </c>
      <c r="J14">
        <f>ABS(C14-outputs!U33)</f>
        <v>0</v>
      </c>
      <c r="K14">
        <f>ABS(D14-outputs!V33)</f>
        <v>0</v>
      </c>
      <c r="L14">
        <f>ABS(E14-outputs!W33)</f>
        <v>0</v>
      </c>
      <c r="O14" s="2"/>
      <c r="P14" s="2"/>
    </row>
    <row r="15" spans="1:17" x14ac:dyDescent="0.2">
      <c r="A15">
        <v>2020</v>
      </c>
      <c r="B15">
        <v>92</v>
      </c>
      <c r="C15">
        <v>46</v>
      </c>
      <c r="D15">
        <v>23</v>
      </c>
      <c r="E15">
        <v>46</v>
      </c>
      <c r="F15">
        <v>86</v>
      </c>
      <c r="G15" s="3">
        <f ca="1">'BAU adoption'!D33</f>
        <v>16.630636500000001</v>
      </c>
      <c r="H15" s="4"/>
      <c r="I15">
        <f>ABS(B15-outputs!T34)</f>
        <v>0</v>
      </c>
      <c r="J15">
        <f>ABS(C15-outputs!U34)</f>
        <v>0</v>
      </c>
      <c r="K15">
        <f>ABS(D15-outputs!V34)</f>
        <v>0</v>
      </c>
      <c r="L15">
        <f>ABS(E15-outputs!W34)</f>
        <v>0</v>
      </c>
      <c r="O15" s="2"/>
      <c r="P15" s="2"/>
    </row>
    <row r="16" spans="1:17" x14ac:dyDescent="0.2">
      <c r="A16">
        <v>2021</v>
      </c>
      <c r="B16">
        <v>117</v>
      </c>
      <c r="C16">
        <v>58</v>
      </c>
      <c r="D16">
        <v>29</v>
      </c>
      <c r="E16">
        <v>58</v>
      </c>
      <c r="F16">
        <v>106</v>
      </c>
      <c r="G16" s="3">
        <f ca="1">'BAU adoption'!D34</f>
        <v>18.585133500000001</v>
      </c>
      <c r="H16" s="4"/>
      <c r="I16">
        <f>ABS(B16-outputs!T35)</f>
        <v>1.4210854715202004E-14</v>
      </c>
      <c r="J16">
        <f>ABS(C16-outputs!U35)</f>
        <v>0</v>
      </c>
      <c r="K16">
        <f>ABS(D16-outputs!V35)</f>
        <v>0</v>
      </c>
      <c r="L16">
        <f>ABS(E16-outputs!W35)</f>
        <v>0</v>
      </c>
      <c r="O16" s="2"/>
      <c r="P16" s="2"/>
    </row>
    <row r="17" spans="1:18" x14ac:dyDescent="0.2">
      <c r="A17">
        <v>2022</v>
      </c>
      <c r="B17">
        <v>145</v>
      </c>
      <c r="C17">
        <v>72</v>
      </c>
      <c r="D17">
        <v>36</v>
      </c>
      <c r="E17">
        <v>72</v>
      </c>
      <c r="F17">
        <v>129</v>
      </c>
      <c r="G17" s="3">
        <f ca="1">'BAU adoption'!D35</f>
        <v>20.539630500000001</v>
      </c>
      <c r="H17" s="4"/>
      <c r="I17">
        <f>ABS(B17-outputs!T36)</f>
        <v>0</v>
      </c>
      <c r="J17">
        <f>ABS(C17-outputs!U36)</f>
        <v>0</v>
      </c>
      <c r="K17">
        <f>ABS(D17-outputs!V36)</f>
        <v>0</v>
      </c>
      <c r="L17">
        <f>ABS(E17-outputs!W36)</f>
        <v>0</v>
      </c>
      <c r="O17" s="2"/>
      <c r="P17" s="2"/>
    </row>
    <row r="18" spans="1:18" x14ac:dyDescent="0.2">
      <c r="A18">
        <v>2023</v>
      </c>
      <c r="B18">
        <v>176</v>
      </c>
      <c r="C18">
        <v>88</v>
      </c>
      <c r="D18">
        <v>44</v>
      </c>
      <c r="E18">
        <v>88</v>
      </c>
      <c r="F18">
        <v>153</v>
      </c>
      <c r="G18" s="3">
        <f ca="1">'BAU adoption'!D36</f>
        <v>22.494127500000001</v>
      </c>
      <c r="H18" s="4"/>
      <c r="I18">
        <f>ABS(B18-outputs!T37)</f>
        <v>0</v>
      </c>
      <c r="J18">
        <f>ABS(C18-outputs!U37)</f>
        <v>0</v>
      </c>
      <c r="K18">
        <f>ABS(D18-outputs!V37)</f>
        <v>0</v>
      </c>
      <c r="L18">
        <f>ABS(E18-outputs!W37)</f>
        <v>0</v>
      </c>
      <c r="O18" s="2"/>
      <c r="P18" s="2"/>
    </row>
    <row r="19" spans="1:18" x14ac:dyDescent="0.2">
      <c r="A19">
        <v>2024</v>
      </c>
      <c r="B19">
        <v>211</v>
      </c>
      <c r="C19">
        <v>105</v>
      </c>
      <c r="D19">
        <v>53</v>
      </c>
      <c r="E19">
        <v>105</v>
      </c>
      <c r="F19">
        <v>179</v>
      </c>
      <c r="G19" s="3">
        <f ca="1">'BAU adoption'!D37</f>
        <v>24.448624500000001</v>
      </c>
      <c r="H19" s="4"/>
      <c r="I19">
        <f>ABS(B19-outputs!T38)</f>
        <v>2.8421709430404007E-14</v>
      </c>
      <c r="J19">
        <f>ABS(C19-outputs!U38)</f>
        <v>0</v>
      </c>
      <c r="K19">
        <f>ABS(D19-outputs!V38)</f>
        <v>0</v>
      </c>
      <c r="L19">
        <f>ABS(E19-outputs!W38)</f>
        <v>0</v>
      </c>
      <c r="O19" s="2"/>
      <c r="P19" s="2"/>
    </row>
    <row r="20" spans="1:18" x14ac:dyDescent="0.2">
      <c r="A20">
        <v>2025</v>
      </c>
      <c r="B20">
        <v>248</v>
      </c>
      <c r="C20">
        <v>124</v>
      </c>
      <c r="D20">
        <v>62</v>
      </c>
      <c r="E20">
        <v>124</v>
      </c>
      <c r="F20">
        <v>207</v>
      </c>
      <c r="G20" s="3">
        <f ca="1">'BAU adoption'!D38</f>
        <v>26.403121500000001</v>
      </c>
      <c r="H20" s="4"/>
      <c r="I20">
        <f>ABS(B20-outputs!T39)</f>
        <v>0</v>
      </c>
      <c r="J20">
        <f>ABS(C20-outputs!U39)</f>
        <v>0</v>
      </c>
      <c r="K20">
        <f>ABS(D20-outputs!V39)</f>
        <v>0</v>
      </c>
      <c r="L20">
        <f>ABS(E20-outputs!W39)</f>
        <v>0</v>
      </c>
      <c r="O20" s="2"/>
      <c r="P20" s="2"/>
    </row>
    <row r="21" spans="1:18" x14ac:dyDescent="0.2">
      <c r="A21">
        <v>2026</v>
      </c>
      <c r="B21">
        <v>290</v>
      </c>
      <c r="C21">
        <v>145</v>
      </c>
      <c r="D21">
        <v>73</v>
      </c>
      <c r="E21">
        <v>145</v>
      </c>
      <c r="F21">
        <v>236</v>
      </c>
      <c r="G21" s="3">
        <f ca="1">'BAU adoption'!D39</f>
        <v>28.357618500000001</v>
      </c>
      <c r="H21" s="4"/>
      <c r="I21">
        <f>ABS(B21-outputs!T40)</f>
        <v>0</v>
      </c>
      <c r="J21">
        <f>ABS(C21-outputs!U40)</f>
        <v>0</v>
      </c>
      <c r="K21">
        <f>ABS(D21-outputs!V40)</f>
        <v>0</v>
      </c>
      <c r="L21">
        <f>ABS(E21-outputs!W40)</f>
        <v>0</v>
      </c>
      <c r="O21" s="2"/>
      <c r="P21" s="2"/>
    </row>
    <row r="22" spans="1:18" x14ac:dyDescent="0.2">
      <c r="A22">
        <v>2027</v>
      </c>
      <c r="B22">
        <v>333</v>
      </c>
      <c r="C22">
        <v>167</v>
      </c>
      <c r="D22">
        <v>83</v>
      </c>
      <c r="E22">
        <v>167</v>
      </c>
      <c r="F22">
        <v>267</v>
      </c>
      <c r="G22" s="3">
        <f ca="1">'BAU adoption'!D40</f>
        <v>30.312115500000001</v>
      </c>
      <c r="H22" s="4"/>
      <c r="I22">
        <f>ABS(B22-outputs!T41)</f>
        <v>0</v>
      </c>
      <c r="J22">
        <f>ABS(C22-outputs!U41)</f>
        <v>0</v>
      </c>
      <c r="K22">
        <f>ABS(D22-outputs!V41)</f>
        <v>0</v>
      </c>
      <c r="L22">
        <f>ABS(E22-outputs!W41)</f>
        <v>0</v>
      </c>
      <c r="O22" s="2"/>
      <c r="P22" s="2"/>
    </row>
    <row r="23" spans="1:18" x14ac:dyDescent="0.2">
      <c r="A23">
        <v>2028</v>
      </c>
      <c r="B23">
        <v>379</v>
      </c>
      <c r="C23">
        <v>190</v>
      </c>
      <c r="D23">
        <v>95</v>
      </c>
      <c r="E23">
        <v>190</v>
      </c>
      <c r="F23">
        <v>300</v>
      </c>
      <c r="G23" s="3">
        <f ca="1">'BAU adoption'!D41</f>
        <v>32.266612500000001</v>
      </c>
      <c r="H23" s="4"/>
      <c r="I23">
        <f>ABS(B23-outputs!T42)</f>
        <v>0</v>
      </c>
      <c r="J23">
        <f>ABS(C23-outputs!U42)</f>
        <v>0</v>
      </c>
      <c r="K23">
        <f>ABS(D23-outputs!V42)</f>
        <v>0</v>
      </c>
      <c r="L23">
        <f>ABS(E23-outputs!W42)</f>
        <v>0</v>
      </c>
      <c r="O23" s="2"/>
      <c r="P23" s="2"/>
    </row>
    <row r="24" spans="1:18" x14ac:dyDescent="0.2">
      <c r="A24">
        <v>2029</v>
      </c>
      <c r="B24">
        <v>428</v>
      </c>
      <c r="C24">
        <v>214</v>
      </c>
      <c r="D24">
        <v>107</v>
      </c>
      <c r="E24">
        <v>214</v>
      </c>
      <c r="F24">
        <v>334</v>
      </c>
      <c r="G24" s="3">
        <f ca="1">'BAU adoption'!D42</f>
        <v>34.221109500000004</v>
      </c>
      <c r="H24" s="4"/>
      <c r="I24">
        <f>ABS(B24-outputs!T43)</f>
        <v>0</v>
      </c>
      <c r="J24">
        <f>ABS(C24-outputs!U43)</f>
        <v>0</v>
      </c>
      <c r="K24">
        <f>ABS(D24-outputs!V43)</f>
        <v>0</v>
      </c>
      <c r="L24">
        <f>ABS(E24-outputs!W43)</f>
        <v>0</v>
      </c>
      <c r="O24" s="2"/>
      <c r="P24" s="2"/>
    </row>
    <row r="25" spans="1:18" x14ac:dyDescent="0.2">
      <c r="A25">
        <v>2030</v>
      </c>
      <c r="B25">
        <v>479</v>
      </c>
      <c r="C25">
        <v>239</v>
      </c>
      <c r="D25">
        <v>120</v>
      </c>
      <c r="E25">
        <v>239</v>
      </c>
      <c r="F25">
        <v>370</v>
      </c>
      <c r="G25" s="3">
        <f ca="1">'BAU adoption'!D43</f>
        <v>36.175606500000001</v>
      </c>
      <c r="H25" s="4"/>
      <c r="I25">
        <f>ABS(B25-outputs!T44)</f>
        <v>0</v>
      </c>
      <c r="J25">
        <f>ABS(C25-outputs!U44)</f>
        <v>2.8421709430404007E-14</v>
      </c>
      <c r="K25">
        <f>ABS(D25-outputs!V44)</f>
        <v>0</v>
      </c>
      <c r="L25">
        <f>ABS(E25-outputs!W44)</f>
        <v>2.8421709430404007E-14</v>
      </c>
      <c r="O25" s="2"/>
      <c r="P25" s="2"/>
    </row>
    <row r="26" spans="1:18" x14ac:dyDescent="0.2">
      <c r="A26">
        <v>2031</v>
      </c>
      <c r="B26">
        <v>532</v>
      </c>
      <c r="C26">
        <v>266</v>
      </c>
      <c r="D26">
        <v>133</v>
      </c>
      <c r="E26">
        <v>266</v>
      </c>
      <c r="F26">
        <v>407</v>
      </c>
      <c r="G26" s="3">
        <f ca="1">'BAU adoption'!D44</f>
        <v>38.130103500000004</v>
      </c>
      <c r="H26" s="4"/>
      <c r="I26">
        <f>ABS(B26-outputs!T45)</f>
        <v>0</v>
      </c>
      <c r="J26">
        <f>ABS(C26-outputs!U45)</f>
        <v>0</v>
      </c>
      <c r="K26">
        <f>ABS(D26-outputs!V45)</f>
        <v>0</v>
      </c>
      <c r="L26">
        <f>ABS(E26-outputs!W45)</f>
        <v>0</v>
      </c>
      <c r="O26" s="2"/>
      <c r="P26" s="2"/>
    </row>
    <row r="27" spans="1:18" x14ac:dyDescent="0.2">
      <c r="A27">
        <v>2032</v>
      </c>
      <c r="B27">
        <v>584</v>
      </c>
      <c r="C27">
        <v>292</v>
      </c>
      <c r="D27">
        <v>146</v>
      </c>
      <c r="E27">
        <v>292</v>
      </c>
      <c r="F27">
        <v>444</v>
      </c>
      <c r="G27" s="3">
        <f ca="1">'BAU adoption'!D45</f>
        <v>40.084600500000001</v>
      </c>
      <c r="H27" s="4"/>
      <c r="I27">
        <f>ABS(B27-outputs!T46)</f>
        <v>0</v>
      </c>
      <c r="J27">
        <f>ABS(C27-outputs!U46)</f>
        <v>0</v>
      </c>
      <c r="K27">
        <f>ABS(D27-outputs!V46)</f>
        <v>0</v>
      </c>
      <c r="L27">
        <f>ABS(E27-outputs!W46)</f>
        <v>0</v>
      </c>
      <c r="O27" s="2">
        <f t="shared" ref="O27:R30" si="2">B27-B26</f>
        <v>52</v>
      </c>
      <c r="P27" s="2">
        <f t="shared" si="2"/>
        <v>26</v>
      </c>
      <c r="Q27" s="2">
        <f t="shared" si="2"/>
        <v>13</v>
      </c>
      <c r="R27" s="2">
        <f t="shared" si="2"/>
        <v>26</v>
      </c>
    </row>
    <row r="28" spans="1:18" x14ac:dyDescent="0.2">
      <c r="A28">
        <v>2033</v>
      </c>
      <c r="B28">
        <v>637</v>
      </c>
      <c r="C28">
        <v>319</v>
      </c>
      <c r="D28">
        <v>159</v>
      </c>
      <c r="E28">
        <v>319</v>
      </c>
      <c r="F28">
        <v>482</v>
      </c>
      <c r="G28" s="3">
        <f ca="1">'BAU adoption'!D46</f>
        <v>42.039097500000004</v>
      </c>
      <c r="H28" s="4"/>
      <c r="I28">
        <f>ABS(B28-outputs!T47)</f>
        <v>0</v>
      </c>
      <c r="J28">
        <f>ABS(C28-outputs!U47)</f>
        <v>0</v>
      </c>
      <c r="K28">
        <f>ABS(D28-outputs!V47)</f>
        <v>0</v>
      </c>
      <c r="L28">
        <f>ABS(E28-outputs!W47)</f>
        <v>0</v>
      </c>
      <c r="O28" s="2">
        <f t="shared" si="2"/>
        <v>53</v>
      </c>
      <c r="P28" s="2">
        <f t="shared" si="2"/>
        <v>27</v>
      </c>
      <c r="Q28" s="2">
        <f t="shared" si="2"/>
        <v>13</v>
      </c>
      <c r="R28" s="2">
        <f t="shared" si="2"/>
        <v>27</v>
      </c>
    </row>
    <row r="29" spans="1:18" x14ac:dyDescent="0.2">
      <c r="A29" s="3">
        <f>A28+1</f>
        <v>2034</v>
      </c>
      <c r="B29" s="3">
        <f t="shared" ref="B29:D45" si="3">2*B$28-INDEX(B$7:B$28, 2055-$A29)</f>
        <v>690</v>
      </c>
      <c r="C29" s="3">
        <f t="shared" si="3"/>
        <v>346</v>
      </c>
      <c r="D29" s="3">
        <f t="shared" si="3"/>
        <v>172</v>
      </c>
      <c r="E29" s="3">
        <f t="shared" ref="E29:E45" si="4">2*E$28-INDEX(E$7:E$28, 2055-$A29)</f>
        <v>346</v>
      </c>
      <c r="F29">
        <v>521</v>
      </c>
      <c r="G29" s="3">
        <f ca="1">'BAU adoption'!D47</f>
        <v>43.9935945</v>
      </c>
      <c r="H29" s="4"/>
      <c r="I29" s="3"/>
      <c r="J29" s="3"/>
      <c r="K29" s="3"/>
      <c r="L29" s="3"/>
      <c r="O29" s="2">
        <f t="shared" si="2"/>
        <v>53</v>
      </c>
      <c r="P29" s="2">
        <f t="shared" si="2"/>
        <v>27</v>
      </c>
      <c r="Q29" s="2">
        <f t="shared" si="2"/>
        <v>13</v>
      </c>
      <c r="R29" s="2">
        <f t="shared" si="2"/>
        <v>27</v>
      </c>
    </row>
    <row r="30" spans="1:18" x14ac:dyDescent="0.2">
      <c r="A30" s="3">
        <f t="shared" ref="A30:A45" si="5">A29+1</f>
        <v>2035</v>
      </c>
      <c r="B30" s="3">
        <f t="shared" si="3"/>
        <v>742</v>
      </c>
      <c r="C30" s="3">
        <f t="shared" si="3"/>
        <v>372</v>
      </c>
      <c r="D30" s="3">
        <f t="shared" si="3"/>
        <v>185</v>
      </c>
      <c r="E30" s="3">
        <f t="shared" si="4"/>
        <v>372</v>
      </c>
      <c r="F30">
        <v>560</v>
      </c>
      <c r="G30" s="3">
        <f ca="1">'BAU adoption'!D48</f>
        <v>45.948091500000004</v>
      </c>
      <c r="H30" s="4"/>
      <c r="I30" s="3"/>
      <c r="J30" s="3"/>
      <c r="K30" s="3"/>
      <c r="L30" s="3"/>
      <c r="O30" s="2">
        <f t="shared" si="2"/>
        <v>52</v>
      </c>
      <c r="P30" s="2">
        <f t="shared" si="2"/>
        <v>26</v>
      </c>
      <c r="Q30" s="2">
        <f t="shared" si="2"/>
        <v>13</v>
      </c>
      <c r="R30" s="2">
        <f t="shared" si="2"/>
        <v>26</v>
      </c>
    </row>
    <row r="31" spans="1:18" x14ac:dyDescent="0.2">
      <c r="A31" s="3">
        <f t="shared" si="5"/>
        <v>2036</v>
      </c>
      <c r="B31" s="3">
        <f t="shared" si="3"/>
        <v>795</v>
      </c>
      <c r="C31" s="3">
        <f t="shared" si="3"/>
        <v>399</v>
      </c>
      <c r="D31" s="3">
        <f t="shared" si="3"/>
        <v>198</v>
      </c>
      <c r="E31" s="3">
        <f t="shared" si="4"/>
        <v>399</v>
      </c>
      <c r="F31">
        <v>599</v>
      </c>
      <c r="G31" s="3">
        <f ca="1">'BAU adoption'!D49</f>
        <v>47.9025885</v>
      </c>
      <c r="H31" s="4"/>
      <c r="I31" s="3"/>
      <c r="J31" s="3"/>
      <c r="K31" s="3"/>
      <c r="L31" s="3"/>
    </row>
    <row r="32" spans="1:18" x14ac:dyDescent="0.2">
      <c r="A32" s="3">
        <f t="shared" si="5"/>
        <v>2037</v>
      </c>
      <c r="B32" s="3">
        <f t="shared" si="3"/>
        <v>846</v>
      </c>
      <c r="C32" s="3">
        <f t="shared" si="3"/>
        <v>424</v>
      </c>
      <c r="D32" s="3">
        <f t="shared" si="3"/>
        <v>211</v>
      </c>
      <c r="E32" s="3">
        <f t="shared" si="4"/>
        <v>424</v>
      </c>
      <c r="F32">
        <v>639</v>
      </c>
      <c r="G32" s="3">
        <f ca="1">'BAU adoption'!D50</f>
        <v>49.857085500000004</v>
      </c>
      <c r="H32" s="4"/>
      <c r="I32" s="3"/>
      <c r="J32" s="3"/>
      <c r="K32" s="3"/>
      <c r="L32" s="3"/>
    </row>
    <row r="33" spans="1:15" x14ac:dyDescent="0.2">
      <c r="A33" s="3">
        <f t="shared" si="5"/>
        <v>2038</v>
      </c>
      <c r="B33" s="3">
        <f t="shared" si="3"/>
        <v>895</v>
      </c>
      <c r="C33" s="3">
        <f t="shared" si="3"/>
        <v>448</v>
      </c>
      <c r="D33" s="3">
        <f t="shared" si="3"/>
        <v>223</v>
      </c>
      <c r="E33" s="3">
        <f t="shared" si="4"/>
        <v>448</v>
      </c>
      <c r="F33">
        <v>679</v>
      </c>
      <c r="G33" s="3">
        <f ca="1">'BAU adoption'!D51</f>
        <v>51.8115825</v>
      </c>
      <c r="H33" s="4"/>
      <c r="I33" s="3"/>
      <c r="J33" s="3"/>
      <c r="K33" s="3"/>
      <c r="L33" s="3"/>
    </row>
    <row r="34" spans="1:15" x14ac:dyDescent="0.2">
      <c r="A34" s="3">
        <f t="shared" si="5"/>
        <v>2039</v>
      </c>
      <c r="B34" s="3">
        <f t="shared" si="3"/>
        <v>941</v>
      </c>
      <c r="C34" s="3">
        <f t="shared" si="3"/>
        <v>471</v>
      </c>
      <c r="D34" s="3">
        <f t="shared" si="3"/>
        <v>235</v>
      </c>
      <c r="E34" s="3">
        <f t="shared" si="4"/>
        <v>471</v>
      </c>
      <c r="F34">
        <v>719</v>
      </c>
      <c r="G34" s="3">
        <f ca="1">'BAU adoption'!D52</f>
        <v>53.766079500000004</v>
      </c>
      <c r="H34" s="4"/>
      <c r="I34" s="3"/>
      <c r="J34" s="3"/>
      <c r="K34" s="3"/>
      <c r="L34" s="3"/>
    </row>
    <row r="35" spans="1:15" x14ac:dyDescent="0.2">
      <c r="A35" s="3">
        <f t="shared" si="5"/>
        <v>2040</v>
      </c>
      <c r="B35" s="3">
        <f t="shared" si="3"/>
        <v>984</v>
      </c>
      <c r="C35" s="3">
        <f t="shared" si="3"/>
        <v>493</v>
      </c>
      <c r="D35" s="3">
        <f t="shared" si="3"/>
        <v>245</v>
      </c>
      <c r="E35" s="3">
        <f t="shared" si="4"/>
        <v>493</v>
      </c>
      <c r="F35">
        <v>759</v>
      </c>
      <c r="G35" s="3">
        <f ca="1">'BAU adoption'!D53</f>
        <v>55.7205765</v>
      </c>
      <c r="H35" s="4"/>
      <c r="I35" s="3"/>
      <c r="J35" s="3"/>
      <c r="K35" s="3"/>
      <c r="L35" s="3"/>
    </row>
    <row r="36" spans="1:15" x14ac:dyDescent="0.2">
      <c r="A36" s="3">
        <f t="shared" si="5"/>
        <v>2041</v>
      </c>
      <c r="B36" s="3">
        <f t="shared" si="3"/>
        <v>1026</v>
      </c>
      <c r="C36" s="3">
        <f t="shared" si="3"/>
        <v>514</v>
      </c>
      <c r="D36" s="3">
        <f t="shared" si="3"/>
        <v>256</v>
      </c>
      <c r="E36" s="3">
        <f t="shared" si="4"/>
        <v>514</v>
      </c>
      <c r="F36">
        <v>799</v>
      </c>
      <c r="G36" s="3">
        <f ca="1">'BAU adoption'!D54</f>
        <v>57.675073500000003</v>
      </c>
      <c r="H36" s="4"/>
      <c r="I36" s="3"/>
      <c r="J36" s="3"/>
      <c r="K36" s="3"/>
      <c r="L36" s="3"/>
    </row>
    <row r="37" spans="1:15" x14ac:dyDescent="0.2">
      <c r="A37" s="3">
        <f t="shared" si="5"/>
        <v>2042</v>
      </c>
      <c r="B37" s="3">
        <f t="shared" si="3"/>
        <v>1063</v>
      </c>
      <c r="C37" s="3">
        <f t="shared" si="3"/>
        <v>533</v>
      </c>
      <c r="D37" s="3">
        <f t="shared" si="3"/>
        <v>265</v>
      </c>
      <c r="E37" s="3">
        <f t="shared" si="4"/>
        <v>533</v>
      </c>
      <c r="F37">
        <v>841</v>
      </c>
      <c r="G37" s="3">
        <f ca="1">'BAU adoption'!D55</f>
        <v>59.6295705</v>
      </c>
      <c r="H37" s="4"/>
      <c r="I37" s="3"/>
      <c r="J37" s="3"/>
      <c r="K37" s="3"/>
      <c r="L37" s="3"/>
    </row>
    <row r="38" spans="1:15" x14ac:dyDescent="0.2">
      <c r="A38" s="3">
        <f t="shared" si="5"/>
        <v>2043</v>
      </c>
      <c r="B38" s="3">
        <f t="shared" si="3"/>
        <v>1098</v>
      </c>
      <c r="C38" s="3">
        <f t="shared" si="3"/>
        <v>550</v>
      </c>
      <c r="D38" s="3">
        <f t="shared" si="3"/>
        <v>274</v>
      </c>
      <c r="E38" s="3">
        <f t="shared" si="4"/>
        <v>550</v>
      </c>
      <c r="F38">
        <v>883</v>
      </c>
      <c r="G38" s="3">
        <f ca="1">'BAU adoption'!D56</f>
        <v>61.584067500000003</v>
      </c>
      <c r="H38" s="4"/>
      <c r="I38" s="3"/>
      <c r="J38" s="3"/>
      <c r="K38" s="3"/>
      <c r="L38" s="3"/>
    </row>
    <row r="39" spans="1:15" x14ac:dyDescent="0.2">
      <c r="A39" s="3">
        <f t="shared" si="5"/>
        <v>2044</v>
      </c>
      <c r="B39" s="3">
        <f t="shared" si="3"/>
        <v>1129</v>
      </c>
      <c r="C39" s="3">
        <f t="shared" si="3"/>
        <v>566</v>
      </c>
      <c r="D39" s="3">
        <f t="shared" si="3"/>
        <v>282</v>
      </c>
      <c r="E39" s="3">
        <f t="shared" si="4"/>
        <v>566</v>
      </c>
      <c r="F39">
        <v>927</v>
      </c>
      <c r="G39" s="3">
        <f ca="1">'BAU adoption'!D57</f>
        <v>63.5385645</v>
      </c>
      <c r="H39" s="4"/>
      <c r="I39" s="3"/>
      <c r="J39" s="3"/>
      <c r="K39" s="3"/>
      <c r="L39" s="3"/>
    </row>
    <row r="40" spans="1:15" x14ac:dyDescent="0.2">
      <c r="A40" s="3">
        <f t="shared" si="5"/>
        <v>2045</v>
      </c>
      <c r="B40" s="4">
        <f t="shared" si="3"/>
        <v>1157</v>
      </c>
      <c r="C40" s="4">
        <f t="shared" si="3"/>
        <v>580</v>
      </c>
      <c r="D40" s="4">
        <f t="shared" si="3"/>
        <v>289</v>
      </c>
      <c r="E40" s="4">
        <f t="shared" si="4"/>
        <v>580</v>
      </c>
      <c r="F40">
        <v>971</v>
      </c>
      <c r="G40" s="4">
        <f ca="1">'BAU adoption'!D58</f>
        <v>65.493061499999996</v>
      </c>
      <c r="H40" s="4"/>
      <c r="I40" s="4"/>
      <c r="J40" s="4"/>
      <c r="K40" s="4"/>
      <c r="L40" s="4"/>
      <c r="O40" s="4"/>
    </row>
    <row r="41" spans="1:15" x14ac:dyDescent="0.2">
      <c r="A41" s="3">
        <f t="shared" si="5"/>
        <v>2046</v>
      </c>
      <c r="B41" s="3">
        <f t="shared" si="3"/>
        <v>1182</v>
      </c>
      <c r="C41" s="3">
        <f t="shared" si="3"/>
        <v>592</v>
      </c>
      <c r="D41" s="3">
        <f t="shared" si="3"/>
        <v>295</v>
      </c>
      <c r="E41" s="3">
        <f t="shared" si="4"/>
        <v>592</v>
      </c>
      <c r="F41" s="3">
        <f>F40+(F$40-F$39)</f>
        <v>1015</v>
      </c>
      <c r="G41" s="3">
        <f ca="1">'BAU adoption'!D59</f>
        <v>67.4475585</v>
      </c>
      <c r="H41" s="3"/>
      <c r="I41" s="3"/>
      <c r="J41" s="3"/>
      <c r="K41" s="3"/>
      <c r="L41" s="3"/>
    </row>
    <row r="42" spans="1:15" x14ac:dyDescent="0.2">
      <c r="A42" s="3">
        <f t="shared" si="5"/>
        <v>2047</v>
      </c>
      <c r="B42" s="3">
        <f t="shared" si="3"/>
        <v>1203</v>
      </c>
      <c r="C42" s="3">
        <f t="shared" si="3"/>
        <v>602</v>
      </c>
      <c r="D42" s="3">
        <f t="shared" si="3"/>
        <v>300</v>
      </c>
      <c r="E42" s="3">
        <f t="shared" si="4"/>
        <v>602</v>
      </c>
      <c r="F42" s="3">
        <f t="shared" ref="F42:F45" si="6">F41+(F$40-F$39)</f>
        <v>1059</v>
      </c>
      <c r="G42" s="3">
        <f ca="1">'BAU adoption'!D60</f>
        <v>69.402055500000003</v>
      </c>
      <c r="H42" s="3"/>
      <c r="I42" s="3"/>
      <c r="J42" s="3"/>
      <c r="K42" s="3"/>
      <c r="L42" s="3"/>
    </row>
    <row r="43" spans="1:15" x14ac:dyDescent="0.2">
      <c r="A43" s="3">
        <f t="shared" si="5"/>
        <v>2048</v>
      </c>
      <c r="B43" s="3">
        <f t="shared" si="3"/>
        <v>1220</v>
      </c>
      <c r="C43" s="3">
        <f t="shared" si="3"/>
        <v>611</v>
      </c>
      <c r="D43" s="3">
        <f t="shared" si="3"/>
        <v>304</v>
      </c>
      <c r="E43" s="3">
        <f t="shared" si="4"/>
        <v>611</v>
      </c>
      <c r="F43" s="3">
        <f t="shared" si="6"/>
        <v>1103</v>
      </c>
      <c r="G43" s="3">
        <f ca="1">'BAU adoption'!D61</f>
        <v>71.356552500000006</v>
      </c>
      <c r="H43" s="3"/>
      <c r="I43" s="3"/>
      <c r="J43" s="3"/>
      <c r="K43" s="3"/>
      <c r="L43" s="3"/>
    </row>
    <row r="44" spans="1:15" x14ac:dyDescent="0.2">
      <c r="A44" s="3">
        <f t="shared" si="5"/>
        <v>2049</v>
      </c>
      <c r="B44" s="3">
        <f t="shared" si="3"/>
        <v>1235</v>
      </c>
      <c r="C44" s="3">
        <f t="shared" si="3"/>
        <v>618</v>
      </c>
      <c r="D44" s="3">
        <f t="shared" si="3"/>
        <v>308</v>
      </c>
      <c r="E44" s="3">
        <f t="shared" si="4"/>
        <v>618</v>
      </c>
      <c r="F44" s="3">
        <f t="shared" si="6"/>
        <v>1147</v>
      </c>
      <c r="G44" s="3">
        <f ca="1">'BAU adoption'!D62</f>
        <v>73.311049499999996</v>
      </c>
      <c r="H44" s="3"/>
      <c r="I44" s="3"/>
      <c r="J44" s="3"/>
      <c r="K44" s="3"/>
      <c r="L44" s="3"/>
    </row>
    <row r="45" spans="1:15" x14ac:dyDescent="0.2">
      <c r="A45" s="3">
        <f t="shared" si="5"/>
        <v>2050</v>
      </c>
      <c r="B45" s="3">
        <f t="shared" si="3"/>
        <v>1247</v>
      </c>
      <c r="C45" s="3">
        <f t="shared" si="3"/>
        <v>625</v>
      </c>
      <c r="D45" s="3">
        <f t="shared" si="3"/>
        <v>311</v>
      </c>
      <c r="E45" s="3">
        <f t="shared" si="4"/>
        <v>625</v>
      </c>
      <c r="F45" s="3">
        <f t="shared" si="6"/>
        <v>1191</v>
      </c>
      <c r="G45" s="3">
        <f ca="1">'BAU adoption'!D63</f>
        <v>75.265546499999999</v>
      </c>
      <c r="H45" s="3"/>
      <c r="I45" s="3"/>
      <c r="J45" s="3"/>
      <c r="K45" s="3"/>
      <c r="L45" s="3"/>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W68"/>
  <sheetViews>
    <sheetView workbookViewId="0"/>
  </sheetViews>
  <sheetFormatPr baseColWidth="10" defaultRowHeight="16" x14ac:dyDescent="0.2"/>
  <cols>
    <col min="1" max="1" width="35.1640625" customWidth="1"/>
    <col min="2" max="2" width="11.1640625" bestFit="1" customWidth="1"/>
  </cols>
  <sheetData>
    <row r="1" spans="1:153" x14ac:dyDescent="0.2">
      <c r="A1" t="s">
        <v>63</v>
      </c>
    </row>
    <row r="2" spans="1:153" x14ac:dyDescent="0.2">
      <c r="A2" t="s">
        <v>14</v>
      </c>
    </row>
    <row r="4" spans="1:153" x14ac:dyDescent="0.2">
      <c r="A4" s="5" t="s">
        <v>15</v>
      </c>
      <c r="B4" s="5" t="s">
        <v>16</v>
      </c>
      <c r="C4" s="35">
        <v>38718</v>
      </c>
      <c r="D4" s="35">
        <v>38749</v>
      </c>
      <c r="E4" s="35">
        <v>38777</v>
      </c>
      <c r="F4" s="35">
        <v>38808</v>
      </c>
      <c r="G4" s="6">
        <v>38838</v>
      </c>
      <c r="H4" s="6">
        <v>38869</v>
      </c>
      <c r="I4" s="6">
        <v>38899</v>
      </c>
      <c r="J4" s="6">
        <v>38930</v>
      </c>
      <c r="K4" s="6">
        <v>38961</v>
      </c>
      <c r="L4" s="6">
        <v>38991</v>
      </c>
      <c r="M4" s="6">
        <v>39022</v>
      </c>
      <c r="N4" s="6">
        <v>39052</v>
      </c>
      <c r="O4" s="6">
        <v>39083</v>
      </c>
      <c r="P4" s="6">
        <v>39114</v>
      </c>
      <c r="Q4" s="6">
        <v>39142</v>
      </c>
      <c r="R4" s="6">
        <v>39173</v>
      </c>
      <c r="S4" s="6">
        <v>39203</v>
      </c>
      <c r="T4" s="6">
        <v>39234</v>
      </c>
      <c r="U4" s="6">
        <v>39264</v>
      </c>
      <c r="V4" s="6">
        <v>39295</v>
      </c>
      <c r="W4" s="6">
        <v>39326</v>
      </c>
      <c r="X4" s="6">
        <v>39356</v>
      </c>
      <c r="Y4" s="6">
        <v>39387</v>
      </c>
      <c r="Z4" s="6">
        <v>39417</v>
      </c>
      <c r="AA4" s="6">
        <v>39448</v>
      </c>
      <c r="AB4" s="6">
        <v>39479</v>
      </c>
      <c r="AC4" s="6">
        <v>39508</v>
      </c>
      <c r="AD4" s="6">
        <v>39539</v>
      </c>
      <c r="AE4" s="6">
        <v>39569</v>
      </c>
      <c r="AF4" s="6">
        <v>39600</v>
      </c>
      <c r="AG4" s="6">
        <v>39630</v>
      </c>
      <c r="AH4" s="6">
        <v>39661</v>
      </c>
      <c r="AI4" s="6">
        <v>39692</v>
      </c>
      <c r="AJ4" s="6">
        <v>39722</v>
      </c>
      <c r="AK4" s="6">
        <v>39753</v>
      </c>
      <c r="AL4" s="6">
        <v>39783</v>
      </c>
      <c r="AM4" s="6">
        <v>39814</v>
      </c>
      <c r="AN4" s="6">
        <v>39845</v>
      </c>
      <c r="AO4" s="6">
        <v>39873</v>
      </c>
      <c r="AP4" s="6">
        <v>39904</v>
      </c>
      <c r="AQ4" s="6">
        <v>39934</v>
      </c>
      <c r="AR4" s="6">
        <v>39965</v>
      </c>
      <c r="AS4" s="6">
        <v>39995</v>
      </c>
      <c r="AT4" s="6">
        <v>40026</v>
      </c>
      <c r="AU4" s="6">
        <v>40057</v>
      </c>
      <c r="AV4" s="6">
        <v>40087</v>
      </c>
      <c r="AW4" s="6">
        <v>40118</v>
      </c>
      <c r="AX4" s="6">
        <v>40148</v>
      </c>
      <c r="AY4" s="6">
        <v>40179</v>
      </c>
      <c r="AZ4" s="6">
        <v>40210</v>
      </c>
      <c r="BA4" s="6">
        <v>40238</v>
      </c>
      <c r="BB4" s="6">
        <v>40269</v>
      </c>
      <c r="BC4" s="6">
        <v>40299</v>
      </c>
      <c r="BD4" s="6">
        <v>40330</v>
      </c>
      <c r="BE4" s="6">
        <v>40360</v>
      </c>
      <c r="BF4" s="6">
        <v>40391</v>
      </c>
      <c r="BG4" s="6">
        <v>40422</v>
      </c>
      <c r="BH4" s="6">
        <v>40452</v>
      </c>
      <c r="BI4" s="6">
        <v>40483</v>
      </c>
      <c r="BJ4" s="6">
        <v>40513</v>
      </c>
      <c r="BK4" s="6">
        <v>40544</v>
      </c>
      <c r="BL4" s="6">
        <v>40575</v>
      </c>
      <c r="BM4" s="6">
        <v>40603</v>
      </c>
      <c r="BN4" s="6">
        <v>40634</v>
      </c>
      <c r="BO4" s="6">
        <v>40664</v>
      </c>
      <c r="BP4" s="6">
        <v>40695</v>
      </c>
      <c r="BQ4" s="6">
        <v>40725</v>
      </c>
      <c r="BR4" s="6">
        <v>40756</v>
      </c>
      <c r="BS4" s="6">
        <v>40787</v>
      </c>
      <c r="BT4" s="6">
        <v>40817</v>
      </c>
      <c r="BU4" s="6">
        <v>40848</v>
      </c>
      <c r="BV4" s="6">
        <v>40878</v>
      </c>
      <c r="BW4" s="6">
        <v>40909</v>
      </c>
      <c r="BX4" s="6">
        <v>40940</v>
      </c>
      <c r="BY4" s="6">
        <v>40969</v>
      </c>
      <c r="BZ4" s="6">
        <v>41000</v>
      </c>
      <c r="CA4" s="6">
        <v>41030</v>
      </c>
      <c r="CB4" s="6">
        <v>41061</v>
      </c>
      <c r="CC4" s="6">
        <v>41091</v>
      </c>
      <c r="CD4" s="6">
        <v>41122</v>
      </c>
      <c r="CE4" s="6">
        <v>41153</v>
      </c>
      <c r="CF4" s="6">
        <v>41183</v>
      </c>
      <c r="CG4" s="6">
        <v>41214</v>
      </c>
      <c r="CH4" s="6">
        <v>41244</v>
      </c>
      <c r="CI4" s="6">
        <v>41275</v>
      </c>
      <c r="CJ4" s="6">
        <v>41306</v>
      </c>
      <c r="CK4" s="6">
        <v>41334</v>
      </c>
      <c r="CL4" s="6">
        <v>41365</v>
      </c>
      <c r="CM4" s="6">
        <v>41395</v>
      </c>
      <c r="CN4" s="6">
        <v>41426</v>
      </c>
      <c r="CO4" s="6">
        <v>41456</v>
      </c>
      <c r="CP4" s="6">
        <v>41487</v>
      </c>
      <c r="CQ4" s="6">
        <v>41518</v>
      </c>
      <c r="CR4" s="6">
        <v>41548</v>
      </c>
      <c r="CS4" s="6">
        <v>41579</v>
      </c>
      <c r="CT4" s="6">
        <v>41609</v>
      </c>
      <c r="CU4" s="6">
        <v>41640</v>
      </c>
      <c r="CV4" s="6">
        <v>41671</v>
      </c>
      <c r="CW4" s="6">
        <v>41699</v>
      </c>
      <c r="CX4" s="6">
        <v>41730</v>
      </c>
      <c r="CY4" s="6">
        <v>41760</v>
      </c>
      <c r="CZ4" s="6">
        <v>41791</v>
      </c>
      <c r="DA4" s="6">
        <v>41821</v>
      </c>
      <c r="DB4" s="6">
        <v>41852</v>
      </c>
      <c r="DC4" s="6">
        <v>41883</v>
      </c>
      <c r="DD4" s="6">
        <v>41913</v>
      </c>
      <c r="DE4" s="6">
        <v>41944</v>
      </c>
      <c r="DF4" s="6">
        <v>41974</v>
      </c>
      <c r="DG4" s="6">
        <v>42005</v>
      </c>
      <c r="DH4" s="6">
        <v>42036</v>
      </c>
      <c r="DI4" s="6">
        <v>42064</v>
      </c>
      <c r="DJ4" s="6">
        <v>42095</v>
      </c>
      <c r="DK4" s="6">
        <v>42125</v>
      </c>
      <c r="DL4" s="6">
        <v>42156</v>
      </c>
      <c r="DM4" s="6">
        <v>42186</v>
      </c>
      <c r="DN4" s="6">
        <v>42217</v>
      </c>
      <c r="DO4" s="6">
        <v>42248</v>
      </c>
      <c r="DP4" s="6">
        <v>42278</v>
      </c>
      <c r="DQ4" s="6">
        <v>42309</v>
      </c>
      <c r="DR4" s="6">
        <v>42339</v>
      </c>
      <c r="DS4" s="6">
        <v>42370</v>
      </c>
      <c r="DT4" s="6">
        <v>42401</v>
      </c>
      <c r="DU4" s="6">
        <v>42430</v>
      </c>
      <c r="DV4" s="6">
        <v>42461</v>
      </c>
      <c r="DW4" s="6">
        <v>42491</v>
      </c>
      <c r="DX4" s="6">
        <v>42522</v>
      </c>
      <c r="DY4" s="6">
        <v>42552</v>
      </c>
      <c r="DZ4" s="6">
        <v>42583</v>
      </c>
      <c r="EA4" s="6">
        <v>42614</v>
      </c>
      <c r="EB4" s="6">
        <v>42644</v>
      </c>
      <c r="EC4" s="6">
        <v>42675</v>
      </c>
      <c r="ED4" s="6">
        <v>42705</v>
      </c>
      <c r="EE4" s="6">
        <v>42736</v>
      </c>
      <c r="EF4" s="6">
        <v>42767</v>
      </c>
      <c r="EG4" s="6">
        <v>42795</v>
      </c>
      <c r="EH4" s="6">
        <v>42826</v>
      </c>
      <c r="EI4" s="6">
        <v>42856</v>
      </c>
      <c r="EJ4" s="6">
        <v>42887</v>
      </c>
      <c r="EK4" s="6">
        <v>42917</v>
      </c>
      <c r="EL4" s="6">
        <v>42948</v>
      </c>
      <c r="EM4" s="6">
        <v>42979</v>
      </c>
      <c r="EN4" s="6">
        <v>43009</v>
      </c>
      <c r="EO4" s="6">
        <v>43040</v>
      </c>
      <c r="EP4" s="6">
        <v>43070</v>
      </c>
      <c r="EQ4" s="6">
        <v>43101</v>
      </c>
      <c r="ER4" s="6">
        <v>43132</v>
      </c>
      <c r="ES4" s="6">
        <v>43160</v>
      </c>
      <c r="ET4" s="6">
        <v>43191</v>
      </c>
      <c r="EU4" s="6">
        <v>43221</v>
      </c>
      <c r="EV4" s="6">
        <v>43252</v>
      </c>
      <c r="EW4" s="6">
        <v>43282</v>
      </c>
    </row>
    <row r="5" spans="1:153" x14ac:dyDescent="0.2">
      <c r="A5" t="s">
        <v>17</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row>
    <row r="6" spans="1:153" x14ac:dyDescent="0.2">
      <c r="A6" t="s">
        <v>18</v>
      </c>
      <c r="B6" t="s">
        <v>19</v>
      </c>
      <c r="C6" s="1">
        <v>68</v>
      </c>
      <c r="D6" s="1">
        <v>70</v>
      </c>
      <c r="E6" s="1">
        <v>68</v>
      </c>
      <c r="F6" s="1">
        <v>70</v>
      </c>
      <c r="G6" s="1">
        <v>70</v>
      </c>
      <c r="H6" s="1">
        <v>72</v>
      </c>
      <c r="I6" s="1">
        <v>70</v>
      </c>
      <c r="J6" s="1">
        <v>70</v>
      </c>
      <c r="K6" s="1">
        <v>70</v>
      </c>
      <c r="L6" s="1">
        <v>74</v>
      </c>
      <c r="M6" s="1">
        <v>75</v>
      </c>
      <c r="N6" s="1">
        <v>74</v>
      </c>
      <c r="O6" s="1">
        <v>78</v>
      </c>
      <c r="P6" s="1">
        <v>95</v>
      </c>
      <c r="Q6" s="1">
        <v>103</v>
      </c>
      <c r="R6" s="1">
        <v>105</v>
      </c>
      <c r="S6" s="1">
        <v>103</v>
      </c>
      <c r="T6" s="1">
        <v>102</v>
      </c>
      <c r="U6" s="1">
        <v>101</v>
      </c>
      <c r="V6" s="1">
        <v>98</v>
      </c>
      <c r="W6" s="1">
        <v>102</v>
      </c>
      <c r="X6" s="1">
        <v>102</v>
      </c>
      <c r="Y6" s="1">
        <v>103</v>
      </c>
      <c r="Z6" s="1">
        <v>102</v>
      </c>
      <c r="AA6" s="1">
        <v>103</v>
      </c>
      <c r="AB6" s="1">
        <v>103</v>
      </c>
      <c r="AC6" s="1">
        <v>100</v>
      </c>
      <c r="AD6" s="1">
        <v>99</v>
      </c>
      <c r="AE6" s="1">
        <v>101</v>
      </c>
      <c r="AF6" s="1">
        <v>101</v>
      </c>
      <c r="AG6" s="1">
        <v>101</v>
      </c>
      <c r="AH6" s="1">
        <v>105</v>
      </c>
      <c r="AI6" s="1">
        <v>109</v>
      </c>
      <c r="AJ6" s="1">
        <v>110</v>
      </c>
      <c r="AK6" s="1">
        <v>109</v>
      </c>
      <c r="AL6" s="1">
        <v>109</v>
      </c>
      <c r="AM6" s="1">
        <v>111</v>
      </c>
      <c r="AN6" s="1">
        <v>115</v>
      </c>
      <c r="AO6" s="1">
        <v>116</v>
      </c>
      <c r="AP6" s="1">
        <v>111</v>
      </c>
      <c r="AQ6" s="1">
        <v>112</v>
      </c>
      <c r="AR6" s="1">
        <v>112</v>
      </c>
      <c r="AS6" s="1">
        <v>105</v>
      </c>
      <c r="AT6" s="1">
        <v>105</v>
      </c>
      <c r="AU6" s="1">
        <v>105</v>
      </c>
      <c r="AV6" s="1">
        <v>103</v>
      </c>
      <c r="AW6" s="1">
        <v>105</v>
      </c>
      <c r="AX6" s="1">
        <v>106</v>
      </c>
      <c r="AY6" s="1">
        <v>110</v>
      </c>
      <c r="AZ6" s="1">
        <v>106</v>
      </c>
      <c r="BA6" s="1">
        <v>104</v>
      </c>
      <c r="BB6" s="1">
        <v>103</v>
      </c>
      <c r="BC6" s="1">
        <v>104</v>
      </c>
      <c r="BD6" s="1">
        <v>104</v>
      </c>
      <c r="BE6" s="1">
        <v>102</v>
      </c>
      <c r="BF6" s="1">
        <v>99</v>
      </c>
      <c r="BG6" s="1">
        <v>98</v>
      </c>
      <c r="BH6" s="1">
        <v>98</v>
      </c>
      <c r="BI6" s="1">
        <v>96</v>
      </c>
      <c r="BJ6" s="1">
        <v>98</v>
      </c>
      <c r="BK6" s="1">
        <v>151</v>
      </c>
      <c r="BL6" s="1">
        <v>148</v>
      </c>
      <c r="BM6" s="1">
        <v>148</v>
      </c>
      <c r="BN6" s="1">
        <v>159</v>
      </c>
      <c r="BO6" s="1">
        <v>185</v>
      </c>
      <c r="BP6" s="1">
        <v>207</v>
      </c>
      <c r="BQ6" s="1">
        <v>224</v>
      </c>
      <c r="BR6" s="1">
        <v>289</v>
      </c>
      <c r="BS6" s="1">
        <v>375</v>
      </c>
      <c r="BT6" s="1">
        <v>390</v>
      </c>
      <c r="BU6" s="1">
        <v>396</v>
      </c>
      <c r="BV6" s="1">
        <v>410</v>
      </c>
      <c r="BW6" s="1">
        <v>495</v>
      </c>
      <c r="BX6" s="1">
        <v>526</v>
      </c>
      <c r="BY6" s="1">
        <v>547</v>
      </c>
      <c r="BZ6" s="1">
        <v>565</v>
      </c>
      <c r="CA6" s="1">
        <v>614</v>
      </c>
      <c r="CB6" s="1">
        <v>650</v>
      </c>
      <c r="CC6" s="1">
        <v>678</v>
      </c>
      <c r="CD6" s="1">
        <v>719</v>
      </c>
      <c r="CE6" s="1">
        <v>737</v>
      </c>
      <c r="CF6" s="1">
        <v>785</v>
      </c>
      <c r="CG6" s="1">
        <v>845</v>
      </c>
      <c r="CH6" s="1">
        <v>870</v>
      </c>
      <c r="CI6" s="1">
        <v>906</v>
      </c>
      <c r="CJ6" s="1">
        <v>946</v>
      </c>
      <c r="CK6" s="1">
        <v>972</v>
      </c>
      <c r="CL6" s="1">
        <v>1009</v>
      </c>
      <c r="CM6" s="1">
        <v>1093</v>
      </c>
      <c r="CN6" s="1">
        <v>1178</v>
      </c>
      <c r="CO6" s="1">
        <v>1307</v>
      </c>
      <c r="CP6" s="1">
        <v>1371</v>
      </c>
      <c r="CQ6" s="1">
        <v>1427</v>
      </c>
      <c r="CR6" s="1">
        <v>1498</v>
      </c>
      <c r="CS6" s="1">
        <v>1560</v>
      </c>
      <c r="CT6" s="1">
        <v>1602</v>
      </c>
      <c r="CU6" s="1">
        <v>1661</v>
      </c>
      <c r="CV6" s="1">
        <v>1716</v>
      </c>
      <c r="CW6" s="1">
        <v>1757</v>
      </c>
      <c r="CX6" s="1">
        <v>1808</v>
      </c>
      <c r="CY6" s="1">
        <v>1852</v>
      </c>
      <c r="CZ6" s="1">
        <v>1924</v>
      </c>
      <c r="DA6" s="1">
        <v>2002</v>
      </c>
      <c r="DB6" s="1">
        <v>2084</v>
      </c>
      <c r="DC6" s="1">
        <v>2147</v>
      </c>
      <c r="DD6" s="1">
        <v>2226</v>
      </c>
      <c r="DE6" s="1">
        <v>2275</v>
      </c>
      <c r="DF6" s="1">
        <v>2318</v>
      </c>
      <c r="DG6" s="1">
        <v>2382</v>
      </c>
      <c r="DH6" s="1">
        <v>2458</v>
      </c>
      <c r="DI6" s="1">
        <v>2498</v>
      </c>
      <c r="DJ6" s="1">
        <v>2571</v>
      </c>
      <c r="DK6" s="1">
        <v>2620</v>
      </c>
      <c r="DL6" s="1">
        <v>2652</v>
      </c>
      <c r="DM6" s="1">
        <v>2680</v>
      </c>
      <c r="DN6" s="1">
        <v>2763</v>
      </c>
      <c r="DO6" s="1">
        <v>2824</v>
      </c>
      <c r="DP6" s="1">
        <v>2893</v>
      </c>
      <c r="DQ6" s="1">
        <v>2957</v>
      </c>
      <c r="DR6" s="1">
        <v>3013</v>
      </c>
      <c r="DS6" s="1">
        <v>3088</v>
      </c>
      <c r="DT6" s="1">
        <v>3188</v>
      </c>
      <c r="DU6" s="1">
        <v>3233</v>
      </c>
      <c r="DV6" s="1">
        <v>3273</v>
      </c>
      <c r="DW6" s="1">
        <v>3370</v>
      </c>
      <c r="DX6" s="1">
        <v>3412</v>
      </c>
      <c r="DY6" s="1">
        <v>3451</v>
      </c>
      <c r="DZ6" s="1">
        <v>3548</v>
      </c>
      <c r="EA6" s="1">
        <v>3650</v>
      </c>
      <c r="EB6" s="1">
        <v>3742</v>
      </c>
      <c r="EC6" s="1">
        <v>3875</v>
      </c>
      <c r="ED6" s="1">
        <v>3957</v>
      </c>
      <c r="EE6" s="1">
        <v>4018</v>
      </c>
      <c r="EF6" s="1">
        <v>4143</v>
      </c>
      <c r="EG6" s="1">
        <v>4273</v>
      </c>
      <c r="EH6" s="1">
        <v>4392</v>
      </c>
      <c r="EI6" s="1">
        <v>4509</v>
      </c>
      <c r="EJ6" s="1">
        <v>4635</v>
      </c>
      <c r="EK6" s="1">
        <v>4769</v>
      </c>
      <c r="EL6" s="1">
        <v>4870</v>
      </c>
      <c r="EM6" s="1">
        <v>4960</v>
      </c>
      <c r="EN6" s="1">
        <v>5063</v>
      </c>
      <c r="EO6" s="1">
        <v>5156</v>
      </c>
      <c r="EP6" s="1">
        <v>5201</v>
      </c>
      <c r="EQ6" s="1">
        <v>5242</v>
      </c>
      <c r="ER6" s="1">
        <v>5362</v>
      </c>
      <c r="ES6" s="1">
        <v>5399</v>
      </c>
      <c r="ET6" s="1">
        <v>5498</v>
      </c>
      <c r="EU6" s="1">
        <v>5640</v>
      </c>
      <c r="EV6" s="1">
        <v>5717</v>
      </c>
      <c r="EW6" s="1">
        <v>5845</v>
      </c>
    </row>
    <row r="7" spans="1:153" x14ac:dyDescent="0.2">
      <c r="A7" t="s">
        <v>20</v>
      </c>
      <c r="B7" t="s">
        <v>19</v>
      </c>
      <c r="C7" s="1">
        <v>2759</v>
      </c>
      <c r="D7" s="1">
        <v>2777</v>
      </c>
      <c r="E7" s="1">
        <v>2779</v>
      </c>
      <c r="F7" s="1">
        <v>2779</v>
      </c>
      <c r="G7" s="1">
        <v>2795</v>
      </c>
      <c r="H7" s="1">
        <v>2808</v>
      </c>
      <c r="I7" s="1">
        <v>2813</v>
      </c>
      <c r="J7" s="1">
        <v>2856</v>
      </c>
      <c r="K7" s="1">
        <v>2871</v>
      </c>
      <c r="L7" s="1">
        <v>2864</v>
      </c>
      <c r="M7" s="1">
        <v>2856</v>
      </c>
      <c r="N7" s="1">
        <v>2852</v>
      </c>
      <c r="O7" s="1">
        <v>2858</v>
      </c>
      <c r="P7" s="1">
        <v>2849</v>
      </c>
      <c r="Q7" s="1">
        <v>2838</v>
      </c>
      <c r="R7" s="1">
        <v>2833</v>
      </c>
      <c r="S7" s="1">
        <v>2840</v>
      </c>
      <c r="T7" s="1">
        <v>2836</v>
      </c>
      <c r="U7" s="1">
        <v>2854</v>
      </c>
      <c r="V7" s="1">
        <v>2851</v>
      </c>
      <c r="W7" s="1">
        <v>2870</v>
      </c>
      <c r="X7" s="1">
        <v>2881</v>
      </c>
      <c r="Y7" s="1">
        <v>2896</v>
      </c>
      <c r="Z7" s="1">
        <v>2900</v>
      </c>
      <c r="AA7" s="1">
        <v>2896</v>
      </c>
      <c r="AB7" s="1">
        <v>2912</v>
      </c>
      <c r="AC7" s="1">
        <v>2922</v>
      </c>
      <c r="AD7" s="1">
        <v>2915</v>
      </c>
      <c r="AE7" s="1">
        <v>2917</v>
      </c>
      <c r="AF7" s="1">
        <v>2914</v>
      </c>
      <c r="AG7" s="1">
        <v>2896</v>
      </c>
      <c r="AH7" s="1">
        <v>2886</v>
      </c>
      <c r="AI7" s="1">
        <v>2850</v>
      </c>
      <c r="AJ7" s="1">
        <v>2842</v>
      </c>
      <c r="AK7" s="1">
        <v>2845</v>
      </c>
      <c r="AL7" s="1">
        <v>2843</v>
      </c>
      <c r="AM7" s="1">
        <v>2846</v>
      </c>
      <c r="AN7" s="1">
        <v>2834</v>
      </c>
      <c r="AO7" s="1">
        <v>2810</v>
      </c>
      <c r="AP7" s="1">
        <v>2809</v>
      </c>
      <c r="AQ7" s="1">
        <v>2808</v>
      </c>
      <c r="AR7" s="1">
        <v>2800</v>
      </c>
      <c r="AS7" s="1">
        <v>2788</v>
      </c>
      <c r="AT7" s="1">
        <v>2791</v>
      </c>
      <c r="AU7" s="1">
        <v>2778</v>
      </c>
      <c r="AV7" s="1">
        <v>2793</v>
      </c>
      <c r="AW7" s="1">
        <v>2796</v>
      </c>
      <c r="AX7" s="1">
        <v>2800</v>
      </c>
      <c r="AY7" s="1">
        <v>2804</v>
      </c>
      <c r="AZ7" s="1">
        <v>2783</v>
      </c>
      <c r="BA7" s="1">
        <v>2791</v>
      </c>
      <c r="BB7" s="1">
        <v>2806</v>
      </c>
      <c r="BC7" s="1">
        <v>2796</v>
      </c>
      <c r="BD7" s="1">
        <v>2793</v>
      </c>
      <c r="BE7" s="1">
        <v>2796</v>
      </c>
      <c r="BF7" s="1">
        <v>2801</v>
      </c>
      <c r="BG7" s="1">
        <v>2791</v>
      </c>
      <c r="BH7" s="1">
        <v>2809</v>
      </c>
      <c r="BI7" s="1">
        <v>2813</v>
      </c>
      <c r="BJ7" s="1">
        <v>2825</v>
      </c>
      <c r="BK7" s="1">
        <v>2832</v>
      </c>
      <c r="BL7" s="1">
        <v>2838</v>
      </c>
      <c r="BM7" s="1">
        <v>2835</v>
      </c>
      <c r="BN7" s="1">
        <v>2840</v>
      </c>
      <c r="BO7" s="1">
        <v>2854</v>
      </c>
      <c r="BP7" s="1">
        <v>2881</v>
      </c>
      <c r="BQ7" s="1">
        <v>2907</v>
      </c>
      <c r="BR7" s="1">
        <v>2937</v>
      </c>
      <c r="BS7" s="1">
        <v>2967</v>
      </c>
      <c r="BT7" s="1">
        <v>3013</v>
      </c>
      <c r="BU7" s="1">
        <v>3046</v>
      </c>
      <c r="BV7" s="1">
        <v>3038</v>
      </c>
      <c r="BW7" s="1">
        <v>3068</v>
      </c>
      <c r="BX7" s="1">
        <v>3116</v>
      </c>
      <c r="BY7" s="1">
        <v>3137</v>
      </c>
      <c r="BZ7" s="1">
        <v>3160</v>
      </c>
      <c r="CA7" s="1">
        <v>3205</v>
      </c>
      <c r="CB7" s="1">
        <v>3252</v>
      </c>
      <c r="CC7" s="1">
        <v>3288</v>
      </c>
      <c r="CD7" s="1">
        <v>3323</v>
      </c>
      <c r="CE7" s="1">
        <v>3340</v>
      </c>
      <c r="CF7" s="1">
        <v>3366</v>
      </c>
      <c r="CG7" s="1">
        <v>3410</v>
      </c>
      <c r="CH7" s="1">
        <v>3435</v>
      </c>
      <c r="CI7" s="1">
        <v>3464</v>
      </c>
      <c r="CJ7" s="1">
        <v>3499</v>
      </c>
      <c r="CK7" s="1">
        <v>3514</v>
      </c>
      <c r="CL7" s="1">
        <v>3542</v>
      </c>
      <c r="CM7" s="1">
        <v>3556</v>
      </c>
      <c r="CN7" s="1">
        <v>3565</v>
      </c>
      <c r="CO7" s="1">
        <v>3591</v>
      </c>
      <c r="CP7" s="1">
        <v>3520</v>
      </c>
      <c r="CQ7" s="1">
        <v>3552</v>
      </c>
      <c r="CR7" s="1">
        <v>3592</v>
      </c>
      <c r="CS7" s="1">
        <v>3610</v>
      </c>
      <c r="CT7" s="1">
        <v>3638</v>
      </c>
      <c r="CU7" s="1">
        <v>3679</v>
      </c>
      <c r="CV7" s="1">
        <v>3703</v>
      </c>
      <c r="CW7" s="1">
        <v>3729</v>
      </c>
      <c r="CX7" s="1">
        <v>3765</v>
      </c>
      <c r="CY7" s="1">
        <v>3788</v>
      </c>
      <c r="CZ7" s="1">
        <v>3827</v>
      </c>
      <c r="DA7" s="1">
        <v>3849</v>
      </c>
      <c r="DB7" s="1">
        <v>3874</v>
      </c>
      <c r="DC7" s="1">
        <v>3799</v>
      </c>
      <c r="DD7" s="1">
        <v>3782</v>
      </c>
      <c r="DE7" s="1">
        <v>3738</v>
      </c>
      <c r="DF7" s="1">
        <v>3732</v>
      </c>
      <c r="DG7" s="1">
        <v>3703</v>
      </c>
      <c r="DH7" s="1">
        <v>3687</v>
      </c>
      <c r="DI7" s="1">
        <v>3655</v>
      </c>
      <c r="DJ7" s="1">
        <v>3630</v>
      </c>
      <c r="DK7" s="1">
        <v>3590</v>
      </c>
      <c r="DL7" s="1">
        <v>3618</v>
      </c>
      <c r="DM7" s="1">
        <v>3562</v>
      </c>
      <c r="DN7" s="1">
        <v>3565</v>
      </c>
      <c r="DO7" s="1">
        <v>3565</v>
      </c>
      <c r="DP7" s="1">
        <v>3577</v>
      </c>
      <c r="DQ7" s="1">
        <v>3555</v>
      </c>
      <c r="DR7" s="1">
        <v>3533</v>
      </c>
      <c r="DS7" s="1">
        <v>3517</v>
      </c>
      <c r="DT7" s="1">
        <v>3523</v>
      </c>
      <c r="DU7" s="1">
        <v>3527</v>
      </c>
      <c r="DV7" s="1">
        <v>3522</v>
      </c>
      <c r="DW7" s="1">
        <v>3523</v>
      </c>
      <c r="DX7" s="1">
        <v>3434</v>
      </c>
      <c r="DY7" s="1">
        <v>3426</v>
      </c>
      <c r="DZ7" s="1">
        <v>3435</v>
      </c>
      <c r="EA7" s="1">
        <v>3430</v>
      </c>
      <c r="EB7" s="1">
        <v>3421</v>
      </c>
      <c r="EC7" s="1">
        <v>3416</v>
      </c>
      <c r="ED7" s="1">
        <v>3399</v>
      </c>
      <c r="EE7" s="1">
        <v>3393</v>
      </c>
      <c r="EF7" s="1">
        <v>3384</v>
      </c>
      <c r="EG7" s="1">
        <v>3379</v>
      </c>
      <c r="EH7" s="1">
        <v>3380</v>
      </c>
      <c r="EI7" s="1">
        <v>3363</v>
      </c>
      <c r="EJ7" s="1">
        <v>3353</v>
      </c>
      <c r="EK7" s="1">
        <v>3373</v>
      </c>
      <c r="EL7" s="1">
        <v>3350</v>
      </c>
      <c r="EM7" s="1">
        <v>3326</v>
      </c>
      <c r="EN7" s="1">
        <v>3291</v>
      </c>
      <c r="EO7" s="1">
        <v>3271</v>
      </c>
      <c r="EP7" s="1">
        <v>3243</v>
      </c>
      <c r="EQ7" s="1">
        <v>3240</v>
      </c>
      <c r="ER7" s="1">
        <v>3209</v>
      </c>
      <c r="ES7" s="1">
        <v>3162</v>
      </c>
      <c r="ET7" s="1">
        <v>3144</v>
      </c>
      <c r="EU7" s="1">
        <v>3121</v>
      </c>
      <c r="EV7" s="1">
        <v>3065</v>
      </c>
      <c r="EW7" s="1">
        <v>2975</v>
      </c>
    </row>
    <row r="8" spans="1:153" x14ac:dyDescent="0.2">
      <c r="A8" t="s">
        <v>21</v>
      </c>
      <c r="B8" t="s">
        <v>19</v>
      </c>
      <c r="C8" s="1">
        <v>581941</v>
      </c>
      <c r="D8" s="1">
        <v>583658</v>
      </c>
      <c r="E8" s="1">
        <v>585014</v>
      </c>
      <c r="F8" s="1">
        <v>583720</v>
      </c>
      <c r="G8" s="1">
        <v>583206</v>
      </c>
      <c r="H8" s="1">
        <v>584474</v>
      </c>
      <c r="I8" s="1">
        <v>585862</v>
      </c>
      <c r="J8" s="1">
        <v>587298</v>
      </c>
      <c r="K8" s="1">
        <v>586760</v>
      </c>
      <c r="L8" s="1">
        <v>586554</v>
      </c>
      <c r="M8" s="1">
        <v>585390</v>
      </c>
      <c r="N8" s="1">
        <v>584679</v>
      </c>
      <c r="O8" s="1">
        <v>584009</v>
      </c>
      <c r="P8" s="1">
        <v>583802</v>
      </c>
      <c r="Q8" s="1">
        <v>582995</v>
      </c>
      <c r="R8" s="1">
        <v>581585</v>
      </c>
      <c r="S8" s="1">
        <v>581383</v>
      </c>
      <c r="T8" s="1">
        <v>581232</v>
      </c>
      <c r="U8" s="1">
        <v>581948</v>
      </c>
      <c r="V8" s="1">
        <v>582997</v>
      </c>
      <c r="W8" s="1">
        <v>582898</v>
      </c>
      <c r="X8" s="1">
        <v>583009</v>
      </c>
      <c r="Y8" s="1">
        <v>582973</v>
      </c>
      <c r="Z8" s="1">
        <v>583385</v>
      </c>
      <c r="AA8" s="1">
        <v>584373</v>
      </c>
      <c r="AB8" s="1">
        <v>585664</v>
      </c>
      <c r="AC8" s="1">
        <v>586205</v>
      </c>
      <c r="AD8" s="1">
        <v>585580</v>
      </c>
      <c r="AE8" s="1">
        <v>585184</v>
      </c>
      <c r="AF8" s="1">
        <v>584946</v>
      </c>
      <c r="AG8" s="1">
        <v>584684</v>
      </c>
      <c r="AH8" s="1">
        <v>584888</v>
      </c>
      <c r="AI8" s="1">
        <v>583977</v>
      </c>
      <c r="AJ8" s="1">
        <v>583376</v>
      </c>
      <c r="AK8" s="1">
        <v>581290</v>
      </c>
      <c r="AL8" s="1">
        <v>579210</v>
      </c>
      <c r="AM8" s="1">
        <v>576921</v>
      </c>
      <c r="AN8" s="1">
        <v>575315</v>
      </c>
      <c r="AO8" s="1">
        <v>574751</v>
      </c>
      <c r="AP8" s="1">
        <v>573203</v>
      </c>
      <c r="AQ8" s="1">
        <v>572318</v>
      </c>
      <c r="AR8" s="1">
        <v>571552</v>
      </c>
      <c r="AS8" s="1">
        <v>571687</v>
      </c>
      <c r="AT8" s="1">
        <v>572079</v>
      </c>
      <c r="AU8" s="1">
        <v>571989</v>
      </c>
      <c r="AV8" s="1">
        <v>571274</v>
      </c>
      <c r="AW8" s="1">
        <v>570003</v>
      </c>
      <c r="AX8" s="1">
        <v>568482</v>
      </c>
      <c r="AY8" s="1">
        <v>568094</v>
      </c>
      <c r="AZ8" s="1">
        <v>568177</v>
      </c>
      <c r="BA8" s="1">
        <v>568220</v>
      </c>
      <c r="BB8" s="1">
        <v>568463</v>
      </c>
      <c r="BC8" s="1">
        <v>568162</v>
      </c>
      <c r="BD8" s="1">
        <v>567794</v>
      </c>
      <c r="BE8" s="1">
        <v>567178</v>
      </c>
      <c r="BF8" s="1">
        <v>567379</v>
      </c>
      <c r="BG8" s="1">
        <v>566788</v>
      </c>
      <c r="BH8" s="1">
        <v>566469</v>
      </c>
      <c r="BI8" s="1">
        <v>565331</v>
      </c>
      <c r="BJ8" s="1">
        <v>564240</v>
      </c>
      <c r="BK8" s="1">
        <v>577469</v>
      </c>
      <c r="BL8" s="1">
        <v>576497</v>
      </c>
      <c r="BM8" s="1">
        <v>576752</v>
      </c>
      <c r="BN8" s="1">
        <v>577171</v>
      </c>
      <c r="BO8" s="1">
        <v>576951</v>
      </c>
      <c r="BP8" s="1">
        <v>580740</v>
      </c>
      <c r="BQ8" s="1">
        <v>584504</v>
      </c>
      <c r="BR8" s="1">
        <v>587899</v>
      </c>
      <c r="BS8" s="1">
        <v>590718</v>
      </c>
      <c r="BT8" s="1">
        <v>593848</v>
      </c>
      <c r="BU8" s="1">
        <v>596303</v>
      </c>
      <c r="BV8" s="1">
        <v>589457</v>
      </c>
      <c r="BW8" s="1">
        <v>592251</v>
      </c>
      <c r="BX8" s="1">
        <v>595369</v>
      </c>
      <c r="BY8" s="1">
        <v>597791</v>
      </c>
      <c r="BZ8" s="1">
        <v>600311</v>
      </c>
      <c r="CA8" s="1">
        <v>603279</v>
      </c>
      <c r="CB8" s="1">
        <v>605867</v>
      </c>
      <c r="CC8" s="1">
        <v>609581</v>
      </c>
      <c r="CD8" s="1">
        <v>612944</v>
      </c>
      <c r="CE8" s="1">
        <v>616123</v>
      </c>
      <c r="CF8" s="1">
        <v>618704</v>
      </c>
      <c r="CG8" s="1">
        <v>622403</v>
      </c>
      <c r="CH8" s="1">
        <v>624274</v>
      </c>
      <c r="CI8" s="1">
        <v>626842</v>
      </c>
      <c r="CJ8" s="1">
        <v>630573</v>
      </c>
      <c r="CK8" s="1">
        <v>633793</v>
      </c>
      <c r="CL8" s="1">
        <v>636749</v>
      </c>
      <c r="CM8" s="1">
        <v>640290</v>
      </c>
      <c r="CN8" s="1">
        <v>643424</v>
      </c>
      <c r="CO8" s="1">
        <v>647150</v>
      </c>
      <c r="CP8" s="1">
        <v>629401</v>
      </c>
      <c r="CQ8" s="1">
        <v>633270</v>
      </c>
      <c r="CR8" s="1">
        <v>636566</v>
      </c>
      <c r="CS8" s="1">
        <v>640041</v>
      </c>
      <c r="CT8" s="1">
        <v>642528</v>
      </c>
      <c r="CU8" s="1">
        <v>645456</v>
      </c>
      <c r="CV8" s="1">
        <v>649537</v>
      </c>
      <c r="CW8" s="1">
        <v>653283</v>
      </c>
      <c r="CX8" s="1">
        <v>656933</v>
      </c>
      <c r="CY8" s="1">
        <v>660289</v>
      </c>
      <c r="CZ8" s="1">
        <v>663628</v>
      </c>
      <c r="DA8" s="1">
        <v>667229</v>
      </c>
      <c r="DB8" s="1">
        <v>670333</v>
      </c>
      <c r="DC8" s="1">
        <v>654756</v>
      </c>
      <c r="DD8" s="1">
        <v>650046</v>
      </c>
      <c r="DE8" s="1">
        <v>642802</v>
      </c>
      <c r="DF8" s="1">
        <v>638700</v>
      </c>
      <c r="DG8" s="1">
        <v>633088</v>
      </c>
      <c r="DH8" s="1">
        <v>626241</v>
      </c>
      <c r="DI8" s="1">
        <v>620171</v>
      </c>
      <c r="DJ8" s="1">
        <v>614077</v>
      </c>
      <c r="DK8" s="1">
        <v>607264</v>
      </c>
      <c r="DL8" s="1">
        <v>609801</v>
      </c>
      <c r="DM8" s="1">
        <v>603018</v>
      </c>
      <c r="DN8" s="1">
        <v>602763</v>
      </c>
      <c r="DO8" s="1">
        <v>602898</v>
      </c>
      <c r="DP8" s="1">
        <v>603932</v>
      </c>
      <c r="DQ8" s="1">
        <v>604561</v>
      </c>
      <c r="DR8" s="1">
        <v>604812</v>
      </c>
      <c r="DS8" s="1">
        <v>606008</v>
      </c>
      <c r="DT8" s="1">
        <v>607344</v>
      </c>
      <c r="DU8" s="1">
        <v>608267</v>
      </c>
      <c r="DV8" s="1">
        <v>609025</v>
      </c>
      <c r="DW8" s="1">
        <v>609290</v>
      </c>
      <c r="DX8" s="1">
        <v>598592</v>
      </c>
      <c r="DY8" s="1">
        <v>599724</v>
      </c>
      <c r="DZ8" s="1">
        <v>602303</v>
      </c>
      <c r="EA8" s="1">
        <v>603888</v>
      </c>
      <c r="EB8" s="1">
        <v>604358</v>
      </c>
      <c r="EC8" s="1">
        <v>604641</v>
      </c>
      <c r="ED8" s="1">
        <v>605739</v>
      </c>
      <c r="EE8" s="1">
        <v>605460</v>
      </c>
      <c r="EF8" s="1">
        <v>605172</v>
      </c>
      <c r="EG8" s="1">
        <v>604865</v>
      </c>
      <c r="EH8" s="1">
        <v>605838</v>
      </c>
      <c r="EI8" s="1">
        <v>605901</v>
      </c>
      <c r="EJ8" s="1">
        <v>605639</v>
      </c>
      <c r="EK8" s="1">
        <v>608992</v>
      </c>
      <c r="EL8" s="1">
        <v>609627</v>
      </c>
      <c r="EM8" s="1">
        <v>610236</v>
      </c>
      <c r="EN8" s="1">
        <v>611209</v>
      </c>
      <c r="EO8" s="1">
        <v>611028</v>
      </c>
      <c r="EP8" s="1">
        <v>611272</v>
      </c>
      <c r="EQ8" s="1">
        <v>611535</v>
      </c>
      <c r="ER8" s="1">
        <v>611592</v>
      </c>
      <c r="ES8" s="1">
        <v>611700</v>
      </c>
      <c r="ET8" s="1">
        <v>612283</v>
      </c>
      <c r="EU8" s="1">
        <v>612822</v>
      </c>
      <c r="EV8" s="1">
        <v>612922</v>
      </c>
      <c r="EW8" s="1">
        <v>611679</v>
      </c>
    </row>
    <row r="9" spans="1:153" x14ac:dyDescent="0.2">
      <c r="A9" t="s">
        <v>22</v>
      </c>
      <c r="B9" t="s">
        <v>19</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4938</v>
      </c>
      <c r="BL9" s="1">
        <v>6565</v>
      </c>
      <c r="BM9" s="1">
        <v>6618</v>
      </c>
      <c r="BN9" s="1">
        <v>6716</v>
      </c>
      <c r="BO9" s="1">
        <v>6786</v>
      </c>
      <c r="BP9" s="1">
        <v>6853</v>
      </c>
      <c r="BQ9" s="1">
        <v>6900</v>
      </c>
      <c r="BR9" s="1">
        <v>6976</v>
      </c>
      <c r="BS9" s="1">
        <v>7055</v>
      </c>
      <c r="BT9" s="1">
        <v>7122</v>
      </c>
      <c r="BU9" s="1">
        <v>7273</v>
      </c>
      <c r="BV9" s="1">
        <v>7387</v>
      </c>
      <c r="BW9" s="1">
        <v>7534</v>
      </c>
      <c r="BX9" s="1">
        <v>7635</v>
      </c>
      <c r="BY9" s="1">
        <v>7808</v>
      </c>
      <c r="BZ9" s="1">
        <v>7997</v>
      </c>
      <c r="CA9" s="1">
        <v>8193</v>
      </c>
      <c r="CB9" s="1">
        <v>8344</v>
      </c>
      <c r="CC9" s="1">
        <v>8517</v>
      </c>
      <c r="CD9" s="1">
        <v>8671</v>
      </c>
      <c r="CE9" s="1">
        <v>8849</v>
      </c>
      <c r="CF9" s="1">
        <v>9014</v>
      </c>
      <c r="CG9" s="1">
        <v>9261</v>
      </c>
      <c r="CH9" s="1">
        <v>9418</v>
      </c>
      <c r="CI9" s="1">
        <v>9718</v>
      </c>
      <c r="CJ9" s="1">
        <v>9914</v>
      </c>
      <c r="CK9" s="1">
        <v>10078</v>
      </c>
      <c r="CL9" s="1">
        <v>10213</v>
      </c>
      <c r="CM9" s="1">
        <v>10427</v>
      </c>
      <c r="CN9" s="1">
        <v>10576</v>
      </c>
      <c r="CO9" s="1">
        <v>10805</v>
      </c>
      <c r="CP9" s="1">
        <v>10946</v>
      </c>
      <c r="CQ9" s="1">
        <v>11206</v>
      </c>
      <c r="CR9" s="1">
        <v>11448</v>
      </c>
      <c r="CS9" s="1">
        <v>11622</v>
      </c>
      <c r="CT9" s="1">
        <v>11716</v>
      </c>
      <c r="CU9" s="1">
        <v>11801</v>
      </c>
      <c r="CV9" s="1">
        <v>12046</v>
      </c>
      <c r="CW9" s="1">
        <v>12173</v>
      </c>
      <c r="CX9" s="1">
        <v>12304</v>
      </c>
      <c r="CY9" s="1">
        <v>12475</v>
      </c>
      <c r="CZ9" s="1">
        <v>12724</v>
      </c>
      <c r="DA9" s="1">
        <v>12963</v>
      </c>
      <c r="DB9" s="1">
        <v>13171</v>
      </c>
      <c r="DC9" s="1">
        <v>13258</v>
      </c>
      <c r="DD9" s="1">
        <v>13445</v>
      </c>
      <c r="DE9" s="1">
        <v>13563</v>
      </c>
      <c r="DF9" s="1">
        <v>13767</v>
      </c>
      <c r="DG9" s="1">
        <v>13857</v>
      </c>
      <c r="DH9" s="1">
        <v>14060</v>
      </c>
      <c r="DI9" s="1">
        <v>14009</v>
      </c>
      <c r="DJ9" s="1">
        <v>14046</v>
      </c>
      <c r="DK9" s="1">
        <v>14164</v>
      </c>
      <c r="DL9" s="1">
        <v>14291</v>
      </c>
      <c r="DM9" s="1">
        <v>14334</v>
      </c>
      <c r="DN9" s="1">
        <v>14484</v>
      </c>
      <c r="DO9" s="1">
        <v>14610</v>
      </c>
      <c r="DP9" s="1">
        <v>14716</v>
      </c>
      <c r="DQ9" s="1">
        <v>14794</v>
      </c>
      <c r="DR9" s="1">
        <v>14902</v>
      </c>
      <c r="DS9" s="1">
        <v>15020</v>
      </c>
      <c r="DT9" s="1">
        <v>15171</v>
      </c>
      <c r="DU9" s="1">
        <v>15247</v>
      </c>
      <c r="DV9" s="1">
        <v>15306</v>
      </c>
      <c r="DW9" s="1">
        <v>15378</v>
      </c>
      <c r="DX9" s="1">
        <v>15365</v>
      </c>
      <c r="DY9" s="1">
        <v>15448</v>
      </c>
      <c r="DZ9" s="1">
        <v>15627</v>
      </c>
      <c r="EA9" s="1">
        <v>15713</v>
      </c>
      <c r="EB9" s="1">
        <v>15863</v>
      </c>
      <c r="EC9" s="1">
        <v>16018</v>
      </c>
      <c r="ED9" s="1">
        <v>16150</v>
      </c>
      <c r="EE9" s="1">
        <v>16236</v>
      </c>
      <c r="EF9" s="1">
        <v>16328</v>
      </c>
      <c r="EG9" s="1">
        <v>16418</v>
      </c>
      <c r="EH9" s="1">
        <v>16471</v>
      </c>
      <c r="EI9" s="1">
        <v>16549</v>
      </c>
      <c r="EJ9" s="1">
        <v>16600</v>
      </c>
      <c r="EK9" s="1">
        <v>16700</v>
      </c>
      <c r="EL9" s="1">
        <v>16783</v>
      </c>
      <c r="EM9" s="1">
        <v>16896</v>
      </c>
      <c r="EN9" s="1">
        <v>17013</v>
      </c>
      <c r="EO9" s="1">
        <v>17031</v>
      </c>
      <c r="EP9" s="1">
        <v>17117</v>
      </c>
      <c r="EQ9" s="1">
        <v>17145</v>
      </c>
      <c r="ER9" s="1">
        <v>17152</v>
      </c>
      <c r="ES9" s="1">
        <v>17141</v>
      </c>
      <c r="ET9" s="1">
        <v>17138</v>
      </c>
      <c r="EU9" s="1">
        <v>17128</v>
      </c>
      <c r="EV9" s="1">
        <v>17133</v>
      </c>
      <c r="EW9" s="1">
        <v>17062</v>
      </c>
    </row>
    <row r="10" spans="1:153" x14ac:dyDescent="0.2">
      <c r="A10" t="s">
        <v>23</v>
      </c>
      <c r="B10" t="s">
        <v>19</v>
      </c>
      <c r="C10" s="1">
        <v>9439</v>
      </c>
      <c r="D10" s="1">
        <v>9527</v>
      </c>
      <c r="E10" s="1">
        <v>9584</v>
      </c>
      <c r="F10" s="1">
        <v>9581</v>
      </c>
      <c r="G10" s="1">
        <v>9616</v>
      </c>
      <c r="H10" s="1">
        <v>9654</v>
      </c>
      <c r="I10" s="1">
        <v>9782</v>
      </c>
      <c r="J10" s="1">
        <v>9887</v>
      </c>
      <c r="K10" s="1">
        <v>10008</v>
      </c>
      <c r="L10" s="1">
        <v>10122</v>
      </c>
      <c r="M10" s="1">
        <v>10276</v>
      </c>
      <c r="N10" s="1">
        <v>10361</v>
      </c>
      <c r="O10" s="1">
        <v>10474</v>
      </c>
      <c r="P10" s="1">
        <v>10533</v>
      </c>
      <c r="Q10" s="1">
        <v>10598</v>
      </c>
      <c r="R10" s="1">
        <v>10495</v>
      </c>
      <c r="S10" s="1">
        <v>10516</v>
      </c>
      <c r="T10" s="1">
        <v>10686</v>
      </c>
      <c r="U10" s="1">
        <v>10837</v>
      </c>
      <c r="V10" s="1">
        <v>10946</v>
      </c>
      <c r="W10" s="1">
        <v>11034</v>
      </c>
      <c r="X10" s="1">
        <v>11178</v>
      </c>
      <c r="Y10" s="1">
        <v>11359</v>
      </c>
      <c r="Z10" s="1">
        <v>11471</v>
      </c>
      <c r="AA10" s="1">
        <v>11701</v>
      </c>
      <c r="AB10" s="1">
        <v>11859</v>
      </c>
      <c r="AC10" s="1">
        <v>12003</v>
      </c>
      <c r="AD10" s="1">
        <v>12253</v>
      </c>
      <c r="AE10" s="1">
        <v>12367</v>
      </c>
      <c r="AF10" s="1">
        <v>12482</v>
      </c>
      <c r="AG10" s="1">
        <v>12622</v>
      </c>
      <c r="AH10" s="1">
        <v>12769</v>
      </c>
      <c r="AI10" s="1">
        <v>12820</v>
      </c>
      <c r="AJ10" s="1">
        <v>12897</v>
      </c>
      <c r="AK10" s="1">
        <v>12871</v>
      </c>
      <c r="AL10" s="1">
        <v>12944</v>
      </c>
      <c r="AM10" s="1">
        <v>13070</v>
      </c>
      <c r="AN10" s="1">
        <v>13210</v>
      </c>
      <c r="AO10" s="1">
        <v>13271</v>
      </c>
      <c r="AP10" s="1">
        <v>13333</v>
      </c>
      <c r="AQ10" s="1">
        <v>13388</v>
      </c>
      <c r="AR10" s="1">
        <v>13719</v>
      </c>
      <c r="AS10" s="1">
        <v>14096</v>
      </c>
      <c r="AT10" s="1">
        <v>14882</v>
      </c>
      <c r="AU10" s="1">
        <v>14950</v>
      </c>
      <c r="AV10" s="1">
        <v>15013</v>
      </c>
      <c r="AW10" s="1">
        <v>15233</v>
      </c>
      <c r="AX10" s="1">
        <v>15479</v>
      </c>
      <c r="AY10" s="1">
        <v>15901</v>
      </c>
      <c r="AZ10" s="1">
        <v>16273</v>
      </c>
      <c r="BA10" s="1">
        <v>16457</v>
      </c>
      <c r="BB10" s="1">
        <v>16531</v>
      </c>
      <c r="BC10" s="1">
        <v>16709</v>
      </c>
      <c r="BD10" s="1">
        <v>17240</v>
      </c>
      <c r="BE10" s="1">
        <v>17522</v>
      </c>
      <c r="BF10" s="1">
        <v>18228</v>
      </c>
      <c r="BG10" s="1">
        <v>18403</v>
      </c>
      <c r="BH10" s="1">
        <v>18510</v>
      </c>
      <c r="BI10" s="1">
        <v>18374</v>
      </c>
      <c r="BJ10" s="1">
        <v>18458</v>
      </c>
      <c r="BK10" s="1">
        <v>157</v>
      </c>
      <c r="BL10" s="1">
        <v>157</v>
      </c>
      <c r="BM10" s="1">
        <v>161</v>
      </c>
      <c r="BN10" s="1">
        <v>160</v>
      </c>
      <c r="BO10" s="1">
        <v>159</v>
      </c>
      <c r="BP10" s="1">
        <v>159</v>
      </c>
      <c r="BQ10" s="1">
        <v>158</v>
      </c>
      <c r="BR10" s="1">
        <v>159</v>
      </c>
      <c r="BS10" s="1">
        <v>160</v>
      </c>
      <c r="BT10" s="1">
        <v>159</v>
      </c>
      <c r="BU10" s="1">
        <v>162</v>
      </c>
      <c r="BV10" s="1">
        <v>155</v>
      </c>
      <c r="BW10" s="1">
        <v>153</v>
      </c>
      <c r="BX10" s="1">
        <v>151</v>
      </c>
      <c r="BY10" s="1">
        <v>151</v>
      </c>
      <c r="BZ10" s="1">
        <v>150</v>
      </c>
      <c r="CA10" s="1">
        <v>150</v>
      </c>
      <c r="CB10" s="1">
        <v>150</v>
      </c>
      <c r="CC10" s="1">
        <v>150</v>
      </c>
      <c r="CD10" s="1">
        <v>149</v>
      </c>
      <c r="CE10" s="1">
        <v>149</v>
      </c>
      <c r="CF10" s="1">
        <v>147</v>
      </c>
      <c r="CG10" s="1">
        <v>148</v>
      </c>
      <c r="CH10" s="1">
        <v>148</v>
      </c>
      <c r="CI10" s="1">
        <v>149</v>
      </c>
      <c r="CJ10" s="1">
        <v>149</v>
      </c>
      <c r="CK10" s="1">
        <v>149</v>
      </c>
      <c r="CL10" s="1">
        <v>150</v>
      </c>
      <c r="CM10" s="1">
        <v>149</v>
      </c>
      <c r="CN10" s="1">
        <v>149</v>
      </c>
      <c r="CO10" s="1">
        <v>148</v>
      </c>
      <c r="CP10" s="1">
        <v>140</v>
      </c>
      <c r="CQ10" s="1">
        <v>141</v>
      </c>
      <c r="CR10" s="1">
        <v>140</v>
      </c>
      <c r="CS10" s="1">
        <v>140</v>
      </c>
      <c r="CT10" s="1">
        <v>141</v>
      </c>
      <c r="CU10" s="1">
        <v>140</v>
      </c>
      <c r="CV10" s="1">
        <v>141</v>
      </c>
      <c r="CW10" s="1">
        <v>143</v>
      </c>
      <c r="CX10" s="1">
        <v>146</v>
      </c>
      <c r="CY10" s="1">
        <v>146</v>
      </c>
      <c r="CZ10" s="1">
        <v>148</v>
      </c>
      <c r="DA10" s="1">
        <v>147</v>
      </c>
      <c r="DB10" s="1">
        <v>148</v>
      </c>
      <c r="DC10" s="1">
        <v>141</v>
      </c>
      <c r="DD10" s="1">
        <v>137</v>
      </c>
      <c r="DE10" s="1">
        <v>139</v>
      </c>
      <c r="DF10" s="1">
        <v>138</v>
      </c>
      <c r="DG10" s="1">
        <v>137</v>
      </c>
      <c r="DH10" s="1">
        <v>133</v>
      </c>
      <c r="DI10" s="1">
        <v>127</v>
      </c>
      <c r="DJ10" s="1">
        <v>125</v>
      </c>
      <c r="DK10" s="1">
        <v>123</v>
      </c>
      <c r="DL10" s="1">
        <v>125</v>
      </c>
      <c r="DM10" s="1">
        <v>124</v>
      </c>
      <c r="DN10" s="1">
        <v>122</v>
      </c>
      <c r="DO10" s="1">
        <v>121</v>
      </c>
      <c r="DP10" s="1">
        <v>120</v>
      </c>
      <c r="DQ10" s="1">
        <v>120</v>
      </c>
      <c r="DR10" s="1">
        <v>120</v>
      </c>
      <c r="DS10" s="1">
        <v>119</v>
      </c>
      <c r="DT10" s="1">
        <v>113</v>
      </c>
      <c r="DU10" s="1">
        <v>112</v>
      </c>
      <c r="DV10" s="1">
        <v>110</v>
      </c>
      <c r="DW10" s="1">
        <v>109</v>
      </c>
      <c r="DX10" s="1">
        <v>106</v>
      </c>
      <c r="DY10" s="1">
        <v>106</v>
      </c>
      <c r="DZ10" s="1">
        <v>106</v>
      </c>
      <c r="EA10" s="1">
        <v>106</v>
      </c>
      <c r="EB10" s="1">
        <v>106</v>
      </c>
      <c r="EC10" s="1">
        <v>108</v>
      </c>
      <c r="ED10" s="1">
        <v>107</v>
      </c>
      <c r="EE10" s="1">
        <v>527</v>
      </c>
      <c r="EF10" s="1">
        <v>526</v>
      </c>
      <c r="EG10" s="1">
        <v>521</v>
      </c>
      <c r="EH10" s="1">
        <v>524</v>
      </c>
      <c r="EI10" s="1">
        <v>520</v>
      </c>
      <c r="EJ10" s="1">
        <v>521</v>
      </c>
      <c r="EK10" s="1">
        <v>524</v>
      </c>
      <c r="EL10" s="1">
        <v>527</v>
      </c>
      <c r="EM10" s="1">
        <v>527</v>
      </c>
      <c r="EN10" s="1">
        <v>525</v>
      </c>
      <c r="EO10" s="1">
        <v>521</v>
      </c>
      <c r="EP10" s="1">
        <v>522</v>
      </c>
      <c r="EQ10" s="1">
        <v>527</v>
      </c>
      <c r="ER10" s="1">
        <v>525</v>
      </c>
      <c r="ES10" s="1">
        <v>525</v>
      </c>
      <c r="ET10" s="1">
        <v>526</v>
      </c>
      <c r="EU10" s="1">
        <v>527</v>
      </c>
      <c r="EV10" s="1">
        <v>526</v>
      </c>
      <c r="EW10" s="1">
        <v>526</v>
      </c>
    </row>
    <row r="11" spans="1:153" x14ac:dyDescent="0.2">
      <c r="A11" t="s">
        <v>24</v>
      </c>
      <c r="B11" t="s">
        <v>19</v>
      </c>
      <c r="C11" s="1">
        <v>3</v>
      </c>
      <c r="D11" s="1">
        <v>3</v>
      </c>
      <c r="E11" s="1">
        <v>3</v>
      </c>
      <c r="F11" s="1">
        <v>3</v>
      </c>
      <c r="G11" s="1">
        <v>3</v>
      </c>
      <c r="H11" s="1">
        <v>3</v>
      </c>
      <c r="I11" s="1">
        <v>3</v>
      </c>
      <c r="J11" s="1">
        <v>3</v>
      </c>
      <c r="K11" s="1">
        <v>2</v>
      </c>
      <c r="L11" s="1">
        <v>2</v>
      </c>
      <c r="M11" s="1">
        <v>2</v>
      </c>
      <c r="N11" s="1">
        <v>2</v>
      </c>
      <c r="O11" s="1">
        <v>2</v>
      </c>
      <c r="P11" s="1">
        <v>2</v>
      </c>
      <c r="Q11" s="1">
        <v>2</v>
      </c>
      <c r="R11" s="1">
        <v>2</v>
      </c>
      <c r="S11" s="1">
        <v>2</v>
      </c>
      <c r="T11" s="1">
        <v>3</v>
      </c>
      <c r="U11" s="1">
        <v>3</v>
      </c>
      <c r="V11" s="1">
        <v>3</v>
      </c>
      <c r="W11" s="1">
        <v>3</v>
      </c>
      <c r="X11" s="1">
        <v>3</v>
      </c>
      <c r="Y11" s="1">
        <v>3</v>
      </c>
      <c r="Z11" s="1">
        <v>3</v>
      </c>
      <c r="AA11" s="1">
        <v>3</v>
      </c>
      <c r="AB11" s="1">
        <v>3</v>
      </c>
      <c r="AC11" s="1">
        <v>3</v>
      </c>
      <c r="AD11" s="1">
        <v>3</v>
      </c>
      <c r="AE11" s="1">
        <v>3</v>
      </c>
      <c r="AF11" s="1">
        <v>3</v>
      </c>
      <c r="AG11" s="1">
        <v>3</v>
      </c>
      <c r="AH11" s="1">
        <v>3</v>
      </c>
      <c r="AI11" s="1">
        <v>3</v>
      </c>
      <c r="AJ11" s="1">
        <v>3</v>
      </c>
      <c r="AK11" s="1">
        <v>3</v>
      </c>
      <c r="AL11" s="1">
        <v>3</v>
      </c>
      <c r="AM11" s="1">
        <v>3</v>
      </c>
      <c r="AN11" s="1">
        <v>3</v>
      </c>
      <c r="AO11" s="1">
        <v>3</v>
      </c>
      <c r="AP11" s="1">
        <v>3</v>
      </c>
      <c r="AQ11" s="1">
        <v>3</v>
      </c>
      <c r="AR11" s="1">
        <v>3</v>
      </c>
      <c r="AS11" s="1">
        <v>3</v>
      </c>
      <c r="AT11" s="1">
        <v>3</v>
      </c>
      <c r="AU11" s="1">
        <v>3</v>
      </c>
      <c r="AV11" s="1">
        <v>3</v>
      </c>
      <c r="AW11" s="1">
        <v>3</v>
      </c>
      <c r="AX11" s="1">
        <v>3</v>
      </c>
      <c r="AY11" s="1">
        <v>3</v>
      </c>
      <c r="AZ11" s="1">
        <v>3</v>
      </c>
      <c r="BA11" s="1">
        <v>3</v>
      </c>
      <c r="BB11" s="1">
        <v>3</v>
      </c>
      <c r="BC11" s="1">
        <v>3</v>
      </c>
      <c r="BD11" s="1">
        <v>3</v>
      </c>
      <c r="BE11" s="1">
        <v>3</v>
      </c>
      <c r="BF11" s="1">
        <v>3</v>
      </c>
      <c r="BG11" s="1">
        <v>2</v>
      </c>
      <c r="BH11" s="1">
        <v>2</v>
      </c>
      <c r="BI11" s="1">
        <v>1</v>
      </c>
      <c r="BJ11" s="1">
        <v>1</v>
      </c>
      <c r="BK11" s="1">
        <v>3</v>
      </c>
      <c r="BL11" s="1">
        <v>3</v>
      </c>
      <c r="BM11" s="1">
        <v>3</v>
      </c>
      <c r="BN11" s="1">
        <v>3</v>
      </c>
      <c r="BO11" s="1">
        <v>3</v>
      </c>
      <c r="BP11" s="1">
        <v>3</v>
      </c>
      <c r="BQ11" s="1">
        <v>4</v>
      </c>
      <c r="BR11" s="1">
        <v>4</v>
      </c>
      <c r="BS11" s="1">
        <v>4</v>
      </c>
      <c r="BT11" s="1">
        <v>4</v>
      </c>
      <c r="BU11" s="1">
        <v>4</v>
      </c>
      <c r="BV11" s="1">
        <v>4</v>
      </c>
      <c r="BW11" s="1">
        <v>4</v>
      </c>
      <c r="BX11" s="1">
        <v>4</v>
      </c>
      <c r="BY11" s="1">
        <v>4</v>
      </c>
      <c r="BZ11" s="1">
        <v>4</v>
      </c>
      <c r="CA11" s="1">
        <v>4</v>
      </c>
      <c r="CB11" s="1">
        <v>4</v>
      </c>
      <c r="CC11" s="1">
        <v>4</v>
      </c>
      <c r="CD11" s="1">
        <v>4</v>
      </c>
      <c r="CE11" s="1">
        <v>4</v>
      </c>
      <c r="CF11" s="1">
        <v>4</v>
      </c>
      <c r="CG11" s="1">
        <v>4</v>
      </c>
      <c r="CH11" s="1">
        <v>4</v>
      </c>
      <c r="CI11" s="1">
        <v>5</v>
      </c>
      <c r="CJ11" s="1">
        <v>5</v>
      </c>
      <c r="CK11" s="1">
        <v>5</v>
      </c>
      <c r="CL11" s="1">
        <v>5</v>
      </c>
      <c r="CM11" s="1">
        <v>5</v>
      </c>
      <c r="CN11" s="1">
        <v>5</v>
      </c>
      <c r="CO11" s="1">
        <v>5</v>
      </c>
      <c r="CP11" s="1">
        <v>4</v>
      </c>
      <c r="CQ11" s="1">
        <v>4</v>
      </c>
      <c r="CR11" s="1">
        <v>4</v>
      </c>
      <c r="CS11" s="1">
        <v>5</v>
      </c>
      <c r="CT11" s="1">
        <v>5</v>
      </c>
      <c r="CU11" s="1">
        <v>5</v>
      </c>
      <c r="CV11" s="1">
        <v>5</v>
      </c>
      <c r="CW11" s="1">
        <v>5</v>
      </c>
      <c r="CX11" s="1">
        <v>5</v>
      </c>
      <c r="CY11" s="1">
        <v>5</v>
      </c>
      <c r="CZ11" s="1">
        <v>5</v>
      </c>
      <c r="DA11" s="1">
        <v>5</v>
      </c>
      <c r="DB11" s="1">
        <v>5</v>
      </c>
      <c r="DC11" s="1">
        <v>4</v>
      </c>
      <c r="DD11" s="1">
        <v>4</v>
      </c>
      <c r="DE11" s="1">
        <v>4</v>
      </c>
      <c r="DF11" s="1">
        <v>4</v>
      </c>
      <c r="DG11" s="1">
        <v>4</v>
      </c>
      <c r="DH11" s="1">
        <v>4</v>
      </c>
      <c r="DI11" s="1">
        <v>4</v>
      </c>
      <c r="DJ11" s="1">
        <v>4</v>
      </c>
      <c r="DK11" s="1">
        <v>4</v>
      </c>
      <c r="DL11" s="1">
        <v>4</v>
      </c>
      <c r="DM11" s="1">
        <v>4</v>
      </c>
      <c r="DN11" s="1">
        <v>4</v>
      </c>
      <c r="DO11" s="1">
        <v>3</v>
      </c>
      <c r="DP11" s="1">
        <v>4</v>
      </c>
      <c r="DQ11" s="1">
        <v>4</v>
      </c>
      <c r="DR11" s="1">
        <v>3</v>
      </c>
      <c r="DS11" s="1">
        <v>3</v>
      </c>
      <c r="DT11" s="1">
        <v>3</v>
      </c>
      <c r="DU11" s="1">
        <v>6</v>
      </c>
      <c r="DV11" s="1">
        <v>6</v>
      </c>
      <c r="DW11" s="1">
        <v>5</v>
      </c>
      <c r="DX11" s="1">
        <v>5</v>
      </c>
      <c r="DY11" s="1">
        <v>5</v>
      </c>
      <c r="DZ11" s="1">
        <v>5</v>
      </c>
      <c r="EA11" s="1">
        <v>5</v>
      </c>
      <c r="EB11" s="1">
        <v>5</v>
      </c>
      <c r="EC11" s="1">
        <v>5</v>
      </c>
      <c r="ED11" s="1">
        <v>5</v>
      </c>
      <c r="EE11" s="1">
        <v>5</v>
      </c>
      <c r="EF11" s="1">
        <v>6</v>
      </c>
      <c r="EG11" s="1">
        <v>6</v>
      </c>
      <c r="EH11" s="1">
        <v>6</v>
      </c>
      <c r="EI11" s="1">
        <v>6</v>
      </c>
      <c r="EJ11" s="1">
        <v>6</v>
      </c>
      <c r="EK11" s="1">
        <v>6</v>
      </c>
      <c r="EL11" s="1">
        <v>7</v>
      </c>
      <c r="EM11" s="1">
        <v>7</v>
      </c>
      <c r="EN11" s="1">
        <v>7</v>
      </c>
      <c r="EO11" s="1">
        <v>7</v>
      </c>
      <c r="EP11" s="1">
        <v>9</v>
      </c>
      <c r="EQ11" s="1">
        <v>9</v>
      </c>
      <c r="ER11" s="1">
        <v>11</v>
      </c>
      <c r="ES11" s="1">
        <v>11</v>
      </c>
      <c r="ET11" s="1">
        <v>11</v>
      </c>
      <c r="EU11" s="1">
        <v>11</v>
      </c>
      <c r="EV11" s="1">
        <v>11</v>
      </c>
      <c r="EW11" s="1">
        <v>10</v>
      </c>
    </row>
    <row r="12" spans="1:153" x14ac:dyDescent="0.2">
      <c r="A12" t="s">
        <v>25</v>
      </c>
      <c r="B12" t="s">
        <v>19</v>
      </c>
      <c r="C12" s="1">
        <v>7871</v>
      </c>
      <c r="D12" s="1">
        <v>7920</v>
      </c>
      <c r="E12" s="1">
        <v>7972</v>
      </c>
      <c r="F12" s="1">
        <v>8039</v>
      </c>
      <c r="G12" s="1">
        <v>8148</v>
      </c>
      <c r="H12" s="1">
        <v>8254</v>
      </c>
      <c r="I12" s="1">
        <v>8347</v>
      </c>
      <c r="J12" s="1">
        <v>8422</v>
      </c>
      <c r="K12" s="1">
        <v>8474</v>
      </c>
      <c r="L12" s="1">
        <v>8557</v>
      </c>
      <c r="M12" s="1">
        <v>8622</v>
      </c>
      <c r="N12" s="1">
        <v>8698</v>
      </c>
      <c r="O12" s="1">
        <v>8767</v>
      </c>
      <c r="P12" s="1">
        <v>8807</v>
      </c>
      <c r="Q12" s="1">
        <v>8861</v>
      </c>
      <c r="R12" s="1">
        <v>8920</v>
      </c>
      <c r="S12" s="1">
        <v>8998</v>
      </c>
      <c r="T12" s="1">
        <v>9063</v>
      </c>
      <c r="U12" s="1">
        <v>9148</v>
      </c>
      <c r="V12" s="1">
        <v>9215</v>
      </c>
      <c r="W12" s="1">
        <v>9260</v>
      </c>
      <c r="X12" s="1">
        <v>9302</v>
      </c>
      <c r="Y12" s="1">
        <v>9360</v>
      </c>
      <c r="Z12" s="1">
        <v>9403</v>
      </c>
      <c r="AA12" s="1">
        <v>9461</v>
      </c>
      <c r="AB12" s="1">
        <v>9519</v>
      </c>
      <c r="AC12" s="1">
        <v>9554</v>
      </c>
      <c r="AD12" s="1">
        <v>9649</v>
      </c>
      <c r="AE12" s="1">
        <v>9705</v>
      </c>
      <c r="AF12" s="1">
        <v>9789</v>
      </c>
      <c r="AG12" s="1">
        <v>9826</v>
      </c>
      <c r="AH12" s="1">
        <v>9869</v>
      </c>
      <c r="AI12" s="1">
        <v>9889</v>
      </c>
      <c r="AJ12" s="1">
        <v>9890</v>
      </c>
      <c r="AK12" s="1">
        <v>9911</v>
      </c>
      <c r="AL12" s="1">
        <v>9933</v>
      </c>
      <c r="AM12" s="1">
        <v>9922</v>
      </c>
      <c r="AN12" s="1">
        <v>9913</v>
      </c>
      <c r="AO12" s="1">
        <v>9928</v>
      </c>
      <c r="AP12" s="1">
        <v>9912</v>
      </c>
      <c r="AQ12" s="1">
        <v>9890</v>
      </c>
      <c r="AR12" s="1">
        <v>9875</v>
      </c>
      <c r="AS12" s="1">
        <v>9884</v>
      </c>
      <c r="AT12" s="1">
        <v>9868</v>
      </c>
      <c r="AU12" s="1">
        <v>9870</v>
      </c>
      <c r="AV12" s="1">
        <v>9875</v>
      </c>
      <c r="AW12" s="1">
        <v>9900</v>
      </c>
      <c r="AX12" s="1">
        <v>9903</v>
      </c>
      <c r="AY12" s="1">
        <v>9905</v>
      </c>
      <c r="AZ12" s="1">
        <v>9920</v>
      </c>
      <c r="BA12" s="1">
        <v>9910</v>
      </c>
      <c r="BB12" s="1">
        <v>9893</v>
      </c>
      <c r="BC12" s="1">
        <v>9886</v>
      </c>
      <c r="BD12" s="1">
        <v>9885</v>
      </c>
      <c r="BE12" s="1">
        <v>9873</v>
      </c>
      <c r="BF12" s="1">
        <v>9871</v>
      </c>
      <c r="BG12" s="1">
        <v>9889</v>
      </c>
      <c r="BH12" s="1">
        <v>9897</v>
      </c>
      <c r="BI12" s="1">
        <v>9907</v>
      </c>
      <c r="BJ12" s="1">
        <v>9919</v>
      </c>
      <c r="BK12" s="1">
        <v>9942</v>
      </c>
      <c r="BL12" s="1">
        <v>9962</v>
      </c>
      <c r="BM12" s="1">
        <v>9966</v>
      </c>
      <c r="BN12" s="1">
        <v>9975</v>
      </c>
      <c r="BO12" s="1">
        <v>9957</v>
      </c>
      <c r="BP12" s="1">
        <v>9988</v>
      </c>
      <c r="BQ12" s="1">
        <v>10024</v>
      </c>
      <c r="BR12" s="1">
        <v>10066</v>
      </c>
      <c r="BS12" s="1">
        <v>10100</v>
      </c>
      <c r="BT12" s="1">
        <v>10155</v>
      </c>
      <c r="BU12" s="1">
        <v>10195</v>
      </c>
      <c r="BV12" s="1">
        <v>10133</v>
      </c>
      <c r="BW12" s="1">
        <v>10207</v>
      </c>
      <c r="BX12" s="1">
        <v>10251</v>
      </c>
      <c r="BY12" s="1">
        <v>10299</v>
      </c>
      <c r="BZ12" s="1">
        <v>10345</v>
      </c>
      <c r="CA12" s="1">
        <v>10381</v>
      </c>
      <c r="CB12" s="1">
        <v>10425</v>
      </c>
      <c r="CC12" s="1">
        <v>10482</v>
      </c>
      <c r="CD12" s="1">
        <v>10561</v>
      </c>
      <c r="CE12" s="1">
        <v>10612</v>
      </c>
      <c r="CF12" s="1">
        <v>10667</v>
      </c>
      <c r="CG12" s="1">
        <v>10742</v>
      </c>
      <c r="CH12" s="1">
        <v>10776</v>
      </c>
      <c r="CI12" s="1">
        <v>10847</v>
      </c>
      <c r="CJ12" s="1">
        <v>10894</v>
      </c>
      <c r="CK12" s="1">
        <v>10930</v>
      </c>
      <c r="CL12" s="1">
        <v>10985</v>
      </c>
      <c r="CM12" s="1">
        <v>11031</v>
      </c>
      <c r="CN12" s="1">
        <v>11065</v>
      </c>
      <c r="CO12" s="1">
        <v>11112</v>
      </c>
      <c r="CP12" s="1">
        <v>10952</v>
      </c>
      <c r="CQ12" s="1">
        <v>10984</v>
      </c>
      <c r="CR12" s="1">
        <v>11017</v>
      </c>
      <c r="CS12" s="1">
        <v>11077</v>
      </c>
      <c r="CT12" s="1">
        <v>11129</v>
      </c>
      <c r="CU12" s="1">
        <v>11175</v>
      </c>
      <c r="CV12" s="1">
        <v>11252</v>
      </c>
      <c r="CW12" s="1">
        <v>11294</v>
      </c>
      <c r="CX12" s="1">
        <v>11362</v>
      </c>
      <c r="CY12" s="1">
        <v>11402</v>
      </c>
      <c r="CZ12" s="1">
        <v>11467</v>
      </c>
      <c r="DA12" s="1">
        <v>11547</v>
      </c>
      <c r="DB12" s="1">
        <v>11578</v>
      </c>
      <c r="DC12" s="1">
        <v>11372</v>
      </c>
      <c r="DD12" s="1">
        <v>11360</v>
      </c>
      <c r="DE12" s="1">
        <v>11309</v>
      </c>
      <c r="DF12" s="1">
        <v>11296</v>
      </c>
      <c r="DG12" s="1">
        <v>11194</v>
      </c>
      <c r="DH12" s="1">
        <v>11182</v>
      </c>
      <c r="DI12" s="1">
        <v>11080</v>
      </c>
      <c r="DJ12" s="1">
        <v>11045</v>
      </c>
      <c r="DK12" s="1">
        <v>11000</v>
      </c>
      <c r="DL12" s="1">
        <v>11104</v>
      </c>
      <c r="DM12" s="1">
        <v>11035</v>
      </c>
      <c r="DN12" s="1">
        <v>11042</v>
      </c>
      <c r="DO12" s="1">
        <v>11047</v>
      </c>
      <c r="DP12" s="1">
        <v>11078</v>
      </c>
      <c r="DQ12" s="1">
        <v>11074</v>
      </c>
      <c r="DR12" s="1">
        <v>11094</v>
      </c>
      <c r="DS12" s="1">
        <v>11109</v>
      </c>
      <c r="DT12" s="1">
        <v>11147</v>
      </c>
      <c r="DU12" s="1">
        <v>11161</v>
      </c>
      <c r="DV12" s="1">
        <v>11198</v>
      </c>
      <c r="DW12" s="1">
        <v>11219</v>
      </c>
      <c r="DX12" s="1">
        <v>11148</v>
      </c>
      <c r="DY12" s="1">
        <v>11172</v>
      </c>
      <c r="DZ12" s="1">
        <v>11220</v>
      </c>
      <c r="EA12" s="1">
        <v>11253</v>
      </c>
      <c r="EB12" s="1">
        <v>11255</v>
      </c>
      <c r="EC12" s="1">
        <v>11267</v>
      </c>
      <c r="ED12" s="1">
        <v>11289</v>
      </c>
      <c r="EE12" s="1">
        <v>11298</v>
      </c>
      <c r="EF12" s="1">
        <v>11364</v>
      </c>
      <c r="EG12" s="1">
        <v>11399</v>
      </c>
      <c r="EH12" s="1">
        <v>11421</v>
      </c>
      <c r="EI12" s="1">
        <v>11439</v>
      </c>
      <c r="EJ12" s="1">
        <v>11462</v>
      </c>
      <c r="EK12" s="1">
        <v>11501</v>
      </c>
      <c r="EL12" s="1">
        <v>11523</v>
      </c>
      <c r="EM12" s="1">
        <v>11523</v>
      </c>
      <c r="EN12" s="1">
        <v>11556</v>
      </c>
      <c r="EO12" s="1">
        <v>11561</v>
      </c>
      <c r="EP12" s="1">
        <v>11562</v>
      </c>
      <c r="EQ12" s="1">
        <v>11543</v>
      </c>
      <c r="ER12" s="1">
        <v>11557</v>
      </c>
      <c r="ES12" s="1">
        <v>11557</v>
      </c>
      <c r="ET12" s="1">
        <v>11520</v>
      </c>
      <c r="EU12" s="1">
        <v>11500</v>
      </c>
      <c r="EV12" s="1">
        <v>11493</v>
      </c>
      <c r="EW12" s="1">
        <v>11444</v>
      </c>
    </row>
    <row r="13" spans="1:153" x14ac:dyDescent="0.2">
      <c r="A13" t="s">
        <v>26</v>
      </c>
      <c r="B13" t="s">
        <v>19</v>
      </c>
      <c r="C13" s="1">
        <v>28898</v>
      </c>
      <c r="D13" s="1">
        <v>29025</v>
      </c>
      <c r="E13" s="1">
        <v>29074</v>
      </c>
      <c r="F13" s="1">
        <v>29165</v>
      </c>
      <c r="G13" s="1">
        <v>29248</v>
      </c>
      <c r="H13" s="1">
        <v>29292</v>
      </c>
      <c r="I13" s="1">
        <v>29331</v>
      </c>
      <c r="J13" s="1">
        <v>29398</v>
      </c>
      <c r="K13" s="1">
        <v>29453</v>
      </c>
      <c r="L13" s="1">
        <v>29512</v>
      </c>
      <c r="M13" s="1">
        <v>29518</v>
      </c>
      <c r="N13" s="1">
        <v>29500</v>
      </c>
      <c r="O13" s="1">
        <v>29472</v>
      </c>
      <c r="P13" s="1">
        <v>29462</v>
      </c>
      <c r="Q13" s="1">
        <v>29561</v>
      </c>
      <c r="R13" s="1">
        <v>29571</v>
      </c>
      <c r="S13" s="1">
        <v>29600</v>
      </c>
      <c r="T13" s="1">
        <v>29593</v>
      </c>
      <c r="U13" s="1">
        <v>29614</v>
      </c>
      <c r="V13" s="1">
        <v>29626</v>
      </c>
      <c r="W13" s="1">
        <v>29623</v>
      </c>
      <c r="X13" s="1">
        <v>29624</v>
      </c>
      <c r="Y13" s="1">
        <v>29601</v>
      </c>
      <c r="Z13" s="1">
        <v>29592</v>
      </c>
      <c r="AA13" s="1">
        <v>29602</v>
      </c>
      <c r="AB13" s="1">
        <v>29630</v>
      </c>
      <c r="AC13" s="1">
        <v>29676</v>
      </c>
      <c r="AD13" s="1">
        <v>29753</v>
      </c>
      <c r="AE13" s="1">
        <v>29699</v>
      </c>
      <c r="AF13" s="1">
        <v>29706</v>
      </c>
      <c r="AG13" s="1">
        <v>29756</v>
      </c>
      <c r="AH13" s="1">
        <v>29807</v>
      </c>
      <c r="AI13" s="1">
        <v>29744</v>
      </c>
      <c r="AJ13" s="1">
        <v>29764</v>
      </c>
      <c r="AK13" s="1">
        <v>29791</v>
      </c>
      <c r="AL13" s="1">
        <v>29746</v>
      </c>
      <c r="AM13" s="1">
        <v>29674</v>
      </c>
      <c r="AN13" s="1">
        <v>29603</v>
      </c>
      <c r="AO13" s="1">
        <v>29517</v>
      </c>
      <c r="AP13" s="1">
        <v>29496</v>
      </c>
      <c r="AQ13" s="1">
        <v>29430</v>
      </c>
      <c r="AR13" s="1">
        <v>29384</v>
      </c>
      <c r="AS13" s="1">
        <v>29300</v>
      </c>
      <c r="AT13" s="1">
        <v>29246</v>
      </c>
      <c r="AU13" s="1">
        <v>29195</v>
      </c>
      <c r="AV13" s="1">
        <v>29153</v>
      </c>
      <c r="AW13" s="1">
        <v>29080</v>
      </c>
      <c r="AX13" s="1">
        <v>28985</v>
      </c>
      <c r="AY13" s="1">
        <v>28939</v>
      </c>
      <c r="AZ13" s="1">
        <v>28821</v>
      </c>
      <c r="BA13" s="1">
        <v>28748</v>
      </c>
      <c r="BB13" s="1">
        <v>28689</v>
      </c>
      <c r="BC13" s="1">
        <v>28614</v>
      </c>
      <c r="BD13" s="1">
        <v>28559</v>
      </c>
      <c r="BE13" s="1">
        <v>28508</v>
      </c>
      <c r="BF13" s="1">
        <v>28417</v>
      </c>
      <c r="BG13" s="1">
        <v>28368</v>
      </c>
      <c r="BH13" s="1">
        <v>28323</v>
      </c>
      <c r="BI13" s="1">
        <v>28245</v>
      </c>
      <c r="BJ13" s="1">
        <v>28187</v>
      </c>
      <c r="BK13" s="1">
        <v>29160</v>
      </c>
      <c r="BL13" s="1">
        <v>29145</v>
      </c>
      <c r="BM13" s="1">
        <v>29061</v>
      </c>
      <c r="BN13" s="1">
        <v>29019</v>
      </c>
      <c r="BO13" s="1">
        <v>28961</v>
      </c>
      <c r="BP13" s="1">
        <v>29070</v>
      </c>
      <c r="BQ13" s="1">
        <v>29159</v>
      </c>
      <c r="BR13" s="1">
        <v>29286</v>
      </c>
      <c r="BS13" s="1">
        <v>29393</v>
      </c>
      <c r="BT13" s="1">
        <v>29525</v>
      </c>
      <c r="BU13" s="1">
        <v>29624</v>
      </c>
      <c r="BV13" s="1">
        <v>29395</v>
      </c>
      <c r="BW13" s="1">
        <v>29479</v>
      </c>
      <c r="BX13" s="1">
        <v>29562</v>
      </c>
      <c r="BY13" s="1">
        <v>29672</v>
      </c>
      <c r="BZ13" s="1">
        <v>29716</v>
      </c>
      <c r="CA13" s="1">
        <v>29787</v>
      </c>
      <c r="CB13" s="1">
        <v>29860</v>
      </c>
      <c r="CC13" s="1">
        <v>29977</v>
      </c>
      <c r="CD13" s="1">
        <v>30056</v>
      </c>
      <c r="CE13" s="1">
        <v>30133</v>
      </c>
      <c r="CF13" s="1">
        <v>30217</v>
      </c>
      <c r="CG13" s="1">
        <v>30322</v>
      </c>
      <c r="CH13" s="1">
        <v>30348</v>
      </c>
      <c r="CI13" s="1">
        <v>30402</v>
      </c>
      <c r="CJ13" s="1">
        <v>30508</v>
      </c>
      <c r="CK13" s="1">
        <v>30632</v>
      </c>
      <c r="CL13" s="1">
        <v>30801</v>
      </c>
      <c r="CM13" s="1">
        <v>30906</v>
      </c>
      <c r="CN13" s="1">
        <v>31006</v>
      </c>
      <c r="CO13" s="1">
        <v>31073</v>
      </c>
      <c r="CP13" s="1">
        <v>30516</v>
      </c>
      <c r="CQ13" s="1">
        <v>30666</v>
      </c>
      <c r="CR13" s="1">
        <v>30799</v>
      </c>
      <c r="CS13" s="1">
        <v>30915</v>
      </c>
      <c r="CT13" s="1">
        <v>31005</v>
      </c>
      <c r="CU13" s="1">
        <v>31081</v>
      </c>
      <c r="CV13" s="1">
        <v>31292</v>
      </c>
      <c r="CW13" s="1">
        <v>31421</v>
      </c>
      <c r="CX13" s="1">
        <v>31542</v>
      </c>
      <c r="CY13" s="1">
        <v>31653</v>
      </c>
      <c r="CZ13" s="1">
        <v>31776</v>
      </c>
      <c r="DA13" s="1">
        <v>31914</v>
      </c>
      <c r="DB13" s="1">
        <v>32078</v>
      </c>
      <c r="DC13" s="1">
        <v>31591</v>
      </c>
      <c r="DD13" s="1">
        <v>31496</v>
      </c>
      <c r="DE13" s="1">
        <v>31357</v>
      </c>
      <c r="DF13" s="1">
        <v>31204</v>
      </c>
      <c r="DG13" s="1">
        <v>31126</v>
      </c>
      <c r="DH13" s="1">
        <v>30969</v>
      </c>
      <c r="DI13" s="1">
        <v>30803</v>
      </c>
      <c r="DJ13" s="1">
        <v>30736</v>
      </c>
      <c r="DK13" s="1">
        <v>30593</v>
      </c>
      <c r="DL13" s="1">
        <v>30736</v>
      </c>
      <c r="DM13" s="1">
        <v>30552</v>
      </c>
      <c r="DN13" s="1">
        <v>30591</v>
      </c>
      <c r="DO13" s="1">
        <v>30621</v>
      </c>
      <c r="DP13" s="1">
        <v>30689</v>
      </c>
      <c r="DQ13" s="1">
        <v>30780</v>
      </c>
      <c r="DR13" s="1">
        <v>30825</v>
      </c>
      <c r="DS13" s="1">
        <v>30897</v>
      </c>
      <c r="DT13" s="1">
        <v>31076</v>
      </c>
      <c r="DU13" s="1">
        <v>31113</v>
      </c>
      <c r="DV13" s="1">
        <v>31288</v>
      </c>
      <c r="DW13" s="1">
        <v>31386</v>
      </c>
      <c r="DX13" s="1">
        <v>31162</v>
      </c>
      <c r="DY13" s="1">
        <v>31163</v>
      </c>
      <c r="DZ13" s="1">
        <v>31263</v>
      </c>
      <c r="EA13" s="1">
        <v>31344</v>
      </c>
      <c r="EB13" s="1">
        <v>31423</v>
      </c>
      <c r="EC13" s="1">
        <v>31455</v>
      </c>
      <c r="ED13" s="1">
        <v>31619</v>
      </c>
      <c r="EE13" s="1">
        <v>31646</v>
      </c>
      <c r="EF13" s="1">
        <v>31774</v>
      </c>
      <c r="EG13" s="1">
        <v>31763</v>
      </c>
      <c r="EH13" s="1">
        <v>31959</v>
      </c>
      <c r="EI13" s="1">
        <v>31961</v>
      </c>
      <c r="EJ13" s="1">
        <v>32049</v>
      </c>
      <c r="EK13" s="1">
        <v>32200</v>
      </c>
      <c r="EL13" s="1">
        <v>32291</v>
      </c>
      <c r="EM13" s="1">
        <v>32463</v>
      </c>
      <c r="EN13" s="1">
        <v>32619</v>
      </c>
      <c r="EO13" s="1">
        <v>32779</v>
      </c>
      <c r="EP13" s="1">
        <v>32905</v>
      </c>
      <c r="EQ13" s="1">
        <v>32992</v>
      </c>
      <c r="ER13" s="1">
        <v>33052</v>
      </c>
      <c r="ES13" s="1">
        <v>33086</v>
      </c>
      <c r="ET13" s="1">
        <v>33090</v>
      </c>
      <c r="EU13" s="1">
        <v>33128</v>
      </c>
      <c r="EV13" s="1">
        <v>33165</v>
      </c>
      <c r="EW13" s="1">
        <v>33139</v>
      </c>
    </row>
    <row r="14" spans="1:153" x14ac:dyDescent="0.2">
      <c r="A14" t="s">
        <v>27</v>
      </c>
      <c r="B14" t="s">
        <v>19</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57</v>
      </c>
      <c r="BL14" s="1">
        <v>60</v>
      </c>
      <c r="BM14" s="1">
        <v>60</v>
      </c>
      <c r="BN14" s="1">
        <v>60</v>
      </c>
      <c r="BO14" s="1">
        <v>59</v>
      </c>
      <c r="BP14" s="1">
        <v>61</v>
      </c>
      <c r="BQ14" s="1">
        <v>61</v>
      </c>
      <c r="BR14" s="1">
        <v>61</v>
      </c>
      <c r="BS14" s="1">
        <v>60</v>
      </c>
      <c r="BT14" s="1">
        <v>59</v>
      </c>
      <c r="BU14" s="1">
        <v>60</v>
      </c>
      <c r="BV14" s="1">
        <v>58</v>
      </c>
      <c r="BW14" s="1">
        <v>60</v>
      </c>
      <c r="BX14" s="1">
        <v>60</v>
      </c>
      <c r="BY14" s="1">
        <v>61</v>
      </c>
      <c r="BZ14" s="1">
        <v>63</v>
      </c>
      <c r="CA14" s="1">
        <v>64</v>
      </c>
      <c r="CB14" s="1">
        <v>65</v>
      </c>
      <c r="CC14" s="1">
        <v>66</v>
      </c>
      <c r="CD14" s="1">
        <v>66</v>
      </c>
      <c r="CE14" s="1">
        <v>67</v>
      </c>
      <c r="CF14" s="1">
        <v>68</v>
      </c>
      <c r="CG14" s="1">
        <v>68</v>
      </c>
      <c r="CH14" s="1">
        <v>69</v>
      </c>
      <c r="CI14" s="1">
        <v>70</v>
      </c>
      <c r="CJ14" s="1">
        <v>70</v>
      </c>
      <c r="CK14" s="1">
        <v>71</v>
      </c>
      <c r="CL14" s="1">
        <v>71</v>
      </c>
      <c r="CM14" s="1">
        <v>72</v>
      </c>
      <c r="CN14" s="1">
        <v>72</v>
      </c>
      <c r="CO14" s="1">
        <v>73</v>
      </c>
      <c r="CP14" s="1">
        <v>73</v>
      </c>
      <c r="CQ14" s="1">
        <v>73</v>
      </c>
      <c r="CR14" s="1">
        <v>74</v>
      </c>
      <c r="CS14" s="1">
        <v>76</v>
      </c>
      <c r="CT14" s="1">
        <v>77</v>
      </c>
      <c r="CU14" s="1">
        <v>77</v>
      </c>
      <c r="CV14" s="1">
        <v>77</v>
      </c>
      <c r="CW14" s="1">
        <v>77</v>
      </c>
      <c r="CX14" s="1">
        <v>80</v>
      </c>
      <c r="CY14" s="1">
        <v>81</v>
      </c>
      <c r="CZ14" s="1">
        <v>82</v>
      </c>
      <c r="DA14" s="1">
        <v>82</v>
      </c>
      <c r="DB14" s="1">
        <v>83</v>
      </c>
      <c r="DC14" s="1">
        <v>82</v>
      </c>
      <c r="DD14" s="1">
        <v>82</v>
      </c>
      <c r="DE14" s="1">
        <v>83</v>
      </c>
      <c r="DF14" s="1">
        <v>84</v>
      </c>
      <c r="DG14" s="1">
        <v>85</v>
      </c>
      <c r="DH14" s="1">
        <v>87</v>
      </c>
      <c r="DI14" s="1">
        <v>87</v>
      </c>
      <c r="DJ14" s="1">
        <v>85</v>
      </c>
      <c r="DK14" s="1">
        <v>86</v>
      </c>
      <c r="DL14" s="1">
        <v>87</v>
      </c>
      <c r="DM14" s="1">
        <v>87</v>
      </c>
      <c r="DN14" s="1">
        <v>87</v>
      </c>
      <c r="DO14" s="1">
        <v>86</v>
      </c>
      <c r="DP14" s="1">
        <v>85</v>
      </c>
      <c r="DQ14" s="1">
        <v>86</v>
      </c>
      <c r="DR14" s="1">
        <v>85</v>
      </c>
      <c r="DS14" s="1">
        <v>85</v>
      </c>
      <c r="DT14" s="1">
        <v>88</v>
      </c>
      <c r="DU14" s="1">
        <v>90</v>
      </c>
      <c r="DV14" s="1">
        <v>92</v>
      </c>
      <c r="DW14" s="1">
        <v>92</v>
      </c>
      <c r="DX14" s="1">
        <v>92</v>
      </c>
      <c r="DY14" s="1">
        <v>93</v>
      </c>
      <c r="DZ14" s="1">
        <v>95</v>
      </c>
      <c r="EA14" s="1">
        <v>94</v>
      </c>
      <c r="EB14" s="1">
        <v>95</v>
      </c>
      <c r="EC14" s="1">
        <v>93</v>
      </c>
      <c r="ED14" s="1">
        <v>96</v>
      </c>
      <c r="EE14" s="1">
        <v>93</v>
      </c>
      <c r="EF14" s="1">
        <v>92</v>
      </c>
      <c r="EG14" s="1">
        <v>94</v>
      </c>
      <c r="EH14" s="1">
        <v>92</v>
      </c>
      <c r="EI14" s="1">
        <v>90</v>
      </c>
      <c r="EJ14" s="1">
        <v>89</v>
      </c>
      <c r="EK14" s="1">
        <v>90</v>
      </c>
      <c r="EL14" s="1">
        <v>89</v>
      </c>
      <c r="EM14" s="1">
        <v>88</v>
      </c>
      <c r="EN14" s="1">
        <v>87</v>
      </c>
      <c r="EO14" s="1">
        <v>87</v>
      </c>
      <c r="EP14" s="1">
        <v>86</v>
      </c>
      <c r="EQ14" s="1">
        <v>85</v>
      </c>
      <c r="ER14" s="1">
        <v>83</v>
      </c>
      <c r="ES14" s="1">
        <v>83</v>
      </c>
      <c r="ET14" s="1">
        <v>80</v>
      </c>
      <c r="EU14" s="1">
        <v>80</v>
      </c>
      <c r="EV14" s="1">
        <v>78</v>
      </c>
      <c r="EW14" s="1">
        <v>75</v>
      </c>
    </row>
    <row r="15" spans="1:153" x14ac:dyDescent="0.2">
      <c r="A15" t="s">
        <v>28</v>
      </c>
      <c r="B15" t="s">
        <v>19</v>
      </c>
      <c r="C15" s="1">
        <v>622</v>
      </c>
      <c r="D15" s="1">
        <v>618</v>
      </c>
      <c r="E15" s="1">
        <v>637</v>
      </c>
      <c r="F15" s="1">
        <v>638</v>
      </c>
      <c r="G15" s="1">
        <v>639</v>
      </c>
      <c r="H15" s="1">
        <v>651</v>
      </c>
      <c r="I15" s="1">
        <v>656</v>
      </c>
      <c r="J15" s="1">
        <v>659</v>
      </c>
      <c r="K15" s="1">
        <v>667</v>
      </c>
      <c r="L15" s="1">
        <v>665</v>
      </c>
      <c r="M15" s="1">
        <v>666</v>
      </c>
      <c r="N15" s="1">
        <v>672</v>
      </c>
      <c r="O15" s="1">
        <v>670</v>
      </c>
      <c r="P15" s="1">
        <v>677</v>
      </c>
      <c r="Q15" s="1">
        <v>689</v>
      </c>
      <c r="R15" s="1">
        <v>696</v>
      </c>
      <c r="S15" s="1">
        <v>699</v>
      </c>
      <c r="T15" s="1">
        <v>701</v>
      </c>
      <c r="U15" s="1">
        <v>716</v>
      </c>
      <c r="V15" s="1">
        <v>723</v>
      </c>
      <c r="W15" s="1">
        <v>731</v>
      </c>
      <c r="X15" s="1">
        <v>748</v>
      </c>
      <c r="Y15" s="1">
        <v>752</v>
      </c>
      <c r="Z15" s="1">
        <v>756</v>
      </c>
      <c r="AA15" s="1">
        <v>764</v>
      </c>
      <c r="AB15" s="1">
        <v>775</v>
      </c>
      <c r="AC15" s="1">
        <v>788</v>
      </c>
      <c r="AD15" s="1">
        <v>792</v>
      </c>
      <c r="AE15" s="1">
        <v>794</v>
      </c>
      <c r="AF15" s="1">
        <v>804</v>
      </c>
      <c r="AG15" s="1">
        <v>823</v>
      </c>
      <c r="AH15" s="1">
        <v>835</v>
      </c>
      <c r="AI15" s="1">
        <v>853</v>
      </c>
      <c r="AJ15" s="1">
        <v>857</v>
      </c>
      <c r="AK15" s="1">
        <v>850</v>
      </c>
      <c r="AL15" s="1">
        <v>854</v>
      </c>
      <c r="AM15" s="1">
        <v>857</v>
      </c>
      <c r="AN15" s="1">
        <v>860</v>
      </c>
      <c r="AO15" s="1">
        <v>864</v>
      </c>
      <c r="AP15" s="1">
        <v>864</v>
      </c>
      <c r="AQ15" s="1">
        <v>874</v>
      </c>
      <c r="AR15" s="1">
        <v>879</v>
      </c>
      <c r="AS15" s="1">
        <v>887</v>
      </c>
      <c r="AT15" s="1">
        <v>894</v>
      </c>
      <c r="AU15" s="1">
        <v>898</v>
      </c>
      <c r="AV15" s="1">
        <v>913</v>
      </c>
      <c r="AW15" s="1">
        <v>921</v>
      </c>
      <c r="AX15" s="1">
        <v>931</v>
      </c>
      <c r="AY15" s="1">
        <v>946</v>
      </c>
      <c r="AZ15" s="1">
        <v>961</v>
      </c>
      <c r="BA15" s="1">
        <v>962</v>
      </c>
      <c r="BB15" s="1">
        <v>965</v>
      </c>
      <c r="BC15" s="1">
        <v>1001</v>
      </c>
      <c r="BD15" s="1">
        <v>1027</v>
      </c>
      <c r="BE15" s="1">
        <v>1049</v>
      </c>
      <c r="BF15" s="1">
        <v>1072</v>
      </c>
      <c r="BG15" s="1">
        <v>1085</v>
      </c>
      <c r="BH15" s="1">
        <v>1110</v>
      </c>
      <c r="BI15" s="1">
        <v>1156</v>
      </c>
      <c r="BJ15" s="1">
        <v>1186</v>
      </c>
      <c r="BK15" s="1">
        <v>109</v>
      </c>
      <c r="BL15" s="1">
        <v>108</v>
      </c>
      <c r="BM15" s="1">
        <v>109</v>
      </c>
      <c r="BN15" s="1">
        <v>109</v>
      </c>
      <c r="BO15" s="1">
        <v>109</v>
      </c>
      <c r="BP15" s="1">
        <v>108</v>
      </c>
      <c r="BQ15" s="1">
        <v>108</v>
      </c>
      <c r="BR15" s="1">
        <v>108</v>
      </c>
      <c r="BS15" s="1">
        <v>105</v>
      </c>
      <c r="BT15" s="1">
        <v>105</v>
      </c>
      <c r="BU15" s="1">
        <v>105</v>
      </c>
      <c r="BV15" s="1">
        <v>104</v>
      </c>
      <c r="BW15" s="1">
        <v>104</v>
      </c>
      <c r="BX15" s="1">
        <v>104</v>
      </c>
      <c r="BY15" s="1">
        <v>103</v>
      </c>
      <c r="BZ15" s="1">
        <v>102</v>
      </c>
      <c r="CA15" s="1">
        <v>102</v>
      </c>
      <c r="CB15" s="1">
        <v>103</v>
      </c>
      <c r="CC15" s="1">
        <v>103</v>
      </c>
      <c r="CD15" s="1">
        <v>104</v>
      </c>
      <c r="CE15" s="1">
        <v>104</v>
      </c>
      <c r="CF15" s="1">
        <v>105</v>
      </c>
      <c r="CG15" s="1">
        <v>105</v>
      </c>
      <c r="CH15" s="1">
        <v>105</v>
      </c>
      <c r="CI15" s="1">
        <v>105</v>
      </c>
      <c r="CJ15" s="1">
        <v>104</v>
      </c>
      <c r="CK15" s="1">
        <v>103</v>
      </c>
      <c r="CL15" s="1">
        <v>103</v>
      </c>
      <c r="CM15" s="1">
        <v>105</v>
      </c>
      <c r="CN15" s="1">
        <v>105</v>
      </c>
      <c r="CO15" s="1">
        <v>105</v>
      </c>
      <c r="CP15" s="1">
        <v>101</v>
      </c>
      <c r="CQ15" s="1">
        <v>102</v>
      </c>
      <c r="CR15" s="1">
        <v>102</v>
      </c>
      <c r="CS15" s="1">
        <v>102</v>
      </c>
      <c r="CT15" s="1">
        <v>102</v>
      </c>
      <c r="CU15" s="1">
        <v>102</v>
      </c>
      <c r="CV15" s="1">
        <v>100</v>
      </c>
      <c r="CW15" s="1">
        <v>100</v>
      </c>
      <c r="CX15" s="1">
        <v>99</v>
      </c>
      <c r="CY15" s="1">
        <v>98</v>
      </c>
      <c r="CZ15" s="1">
        <v>98</v>
      </c>
      <c r="DA15" s="1">
        <v>98</v>
      </c>
      <c r="DB15" s="1">
        <v>98</v>
      </c>
      <c r="DC15" s="1">
        <v>97</v>
      </c>
      <c r="DD15" s="1">
        <v>97</v>
      </c>
      <c r="DE15" s="1">
        <v>97</v>
      </c>
      <c r="DF15" s="1">
        <v>97</v>
      </c>
      <c r="DG15" s="1">
        <v>95</v>
      </c>
      <c r="DH15" s="1">
        <v>96</v>
      </c>
      <c r="DI15" s="1">
        <v>97</v>
      </c>
      <c r="DJ15" s="1">
        <v>97</v>
      </c>
      <c r="DK15" s="1">
        <v>97</v>
      </c>
      <c r="DL15" s="1">
        <v>96</v>
      </c>
      <c r="DM15" s="1">
        <v>95</v>
      </c>
      <c r="DN15" s="1">
        <v>97</v>
      </c>
      <c r="DO15" s="1">
        <v>97</v>
      </c>
      <c r="DP15" s="1">
        <v>96</v>
      </c>
      <c r="DQ15" s="1">
        <v>95</v>
      </c>
      <c r="DR15" s="1">
        <v>95</v>
      </c>
      <c r="DS15" s="1">
        <v>96</v>
      </c>
      <c r="DT15" s="1">
        <v>95</v>
      </c>
      <c r="DU15" s="1">
        <v>95</v>
      </c>
      <c r="DV15" s="1">
        <v>93</v>
      </c>
      <c r="DW15" s="1">
        <v>91</v>
      </c>
      <c r="DX15" s="1">
        <v>90</v>
      </c>
      <c r="DY15" s="1">
        <v>90</v>
      </c>
      <c r="DZ15" s="1">
        <v>90</v>
      </c>
      <c r="EA15" s="1">
        <v>91</v>
      </c>
      <c r="EB15" s="1">
        <v>91</v>
      </c>
      <c r="EC15" s="1">
        <v>90</v>
      </c>
      <c r="ED15" s="1">
        <v>88</v>
      </c>
      <c r="EE15" s="1">
        <v>88</v>
      </c>
      <c r="EF15" s="1">
        <v>87</v>
      </c>
      <c r="EG15" s="1">
        <v>87</v>
      </c>
      <c r="EH15" s="1">
        <v>87</v>
      </c>
      <c r="EI15" s="1">
        <v>87</v>
      </c>
      <c r="EJ15" s="1">
        <v>86</v>
      </c>
      <c r="EK15" s="1">
        <v>87</v>
      </c>
      <c r="EL15" s="1">
        <v>87</v>
      </c>
      <c r="EM15" s="1">
        <v>87</v>
      </c>
      <c r="EN15" s="1">
        <v>87</v>
      </c>
      <c r="EO15" s="1">
        <v>87</v>
      </c>
      <c r="EP15" s="1">
        <v>86</v>
      </c>
      <c r="EQ15" s="1">
        <v>86</v>
      </c>
      <c r="ER15" s="1">
        <v>87</v>
      </c>
      <c r="ES15" s="1">
        <v>88</v>
      </c>
      <c r="ET15" s="1">
        <v>91</v>
      </c>
      <c r="EU15" s="1">
        <v>91</v>
      </c>
      <c r="EV15" s="1">
        <v>91</v>
      </c>
      <c r="EW15" s="1">
        <v>90</v>
      </c>
    </row>
    <row r="16" spans="1:153" x14ac:dyDescent="0.2">
      <c r="A16" t="s">
        <v>31</v>
      </c>
      <c r="C16" s="1">
        <f>SUM(C6:C15)</f>
        <v>631601</v>
      </c>
      <c r="D16" s="1">
        <f t="shared" ref="D16:BO16" si="0">SUM(D6:D15)</f>
        <v>633598</v>
      </c>
      <c r="E16" s="1">
        <f t="shared" si="0"/>
        <v>635131</v>
      </c>
      <c r="F16" s="1">
        <f t="shared" si="0"/>
        <v>633995</v>
      </c>
      <c r="G16" s="1">
        <f t="shared" si="0"/>
        <v>633725</v>
      </c>
      <c r="H16" s="1">
        <f t="shared" si="0"/>
        <v>635208</v>
      </c>
      <c r="I16" s="1">
        <f t="shared" si="0"/>
        <v>636864</v>
      </c>
      <c r="J16" s="1">
        <f t="shared" si="0"/>
        <v>638593</v>
      </c>
      <c r="K16" s="1">
        <f t="shared" si="0"/>
        <v>638305</v>
      </c>
      <c r="L16" s="1">
        <f t="shared" si="0"/>
        <v>638350</v>
      </c>
      <c r="M16" s="1">
        <f t="shared" si="0"/>
        <v>637405</v>
      </c>
      <c r="N16" s="1">
        <f t="shared" si="0"/>
        <v>636838</v>
      </c>
      <c r="O16" s="1">
        <f t="shared" si="0"/>
        <v>636330</v>
      </c>
      <c r="P16" s="1">
        <f t="shared" si="0"/>
        <v>636227</v>
      </c>
      <c r="Q16" s="1">
        <f t="shared" si="0"/>
        <v>635647</v>
      </c>
      <c r="R16" s="1">
        <f t="shared" si="0"/>
        <v>634207</v>
      </c>
      <c r="S16" s="1">
        <f t="shared" si="0"/>
        <v>634141</v>
      </c>
      <c r="T16" s="1">
        <f t="shared" si="0"/>
        <v>634216</v>
      </c>
      <c r="U16" s="1">
        <f t="shared" si="0"/>
        <v>635221</v>
      </c>
      <c r="V16" s="1">
        <f t="shared" si="0"/>
        <v>636459</v>
      </c>
      <c r="W16" s="1">
        <f t="shared" si="0"/>
        <v>636521</v>
      </c>
      <c r="X16" s="1">
        <f t="shared" si="0"/>
        <v>636847</v>
      </c>
      <c r="Y16" s="1">
        <f t="shared" si="0"/>
        <v>637047</v>
      </c>
      <c r="Z16" s="1">
        <f t="shared" si="0"/>
        <v>637612</v>
      </c>
      <c r="AA16" s="1">
        <f t="shared" si="0"/>
        <v>638903</v>
      </c>
      <c r="AB16" s="1">
        <f t="shared" si="0"/>
        <v>640465</v>
      </c>
      <c r="AC16" s="1">
        <f t="shared" si="0"/>
        <v>641251</v>
      </c>
      <c r="AD16" s="1">
        <f t="shared" si="0"/>
        <v>641044</v>
      </c>
      <c r="AE16" s="1">
        <f t="shared" si="0"/>
        <v>640770</v>
      </c>
      <c r="AF16" s="1">
        <f t="shared" si="0"/>
        <v>640745</v>
      </c>
      <c r="AG16" s="1">
        <f t="shared" si="0"/>
        <v>640711</v>
      </c>
      <c r="AH16" s="1">
        <f t="shared" si="0"/>
        <v>641162</v>
      </c>
      <c r="AI16" s="1">
        <f t="shared" si="0"/>
        <v>640245</v>
      </c>
      <c r="AJ16" s="1">
        <f t="shared" si="0"/>
        <v>639739</v>
      </c>
      <c r="AK16" s="1">
        <f t="shared" si="0"/>
        <v>637670</v>
      </c>
      <c r="AL16" s="1">
        <f t="shared" si="0"/>
        <v>635642</v>
      </c>
      <c r="AM16" s="1">
        <f t="shared" si="0"/>
        <v>633404</v>
      </c>
      <c r="AN16" s="1">
        <f t="shared" si="0"/>
        <v>631853</v>
      </c>
      <c r="AO16" s="1">
        <f t="shared" si="0"/>
        <v>631260</v>
      </c>
      <c r="AP16" s="1">
        <f t="shared" si="0"/>
        <v>629731</v>
      </c>
      <c r="AQ16" s="1">
        <f t="shared" si="0"/>
        <v>628823</v>
      </c>
      <c r="AR16" s="1">
        <f t="shared" si="0"/>
        <v>628324</v>
      </c>
      <c r="AS16" s="1">
        <f t="shared" si="0"/>
        <v>628750</v>
      </c>
      <c r="AT16" s="1">
        <f t="shared" si="0"/>
        <v>629868</v>
      </c>
      <c r="AU16" s="1">
        <f t="shared" si="0"/>
        <v>629788</v>
      </c>
      <c r="AV16" s="1">
        <f t="shared" si="0"/>
        <v>629127</v>
      </c>
      <c r="AW16" s="1">
        <f t="shared" si="0"/>
        <v>628041</v>
      </c>
      <c r="AX16" s="1">
        <f t="shared" si="0"/>
        <v>626689</v>
      </c>
      <c r="AY16" s="1">
        <f t="shared" si="0"/>
        <v>626702</v>
      </c>
      <c r="AZ16" s="1">
        <f t="shared" si="0"/>
        <v>627044</v>
      </c>
      <c r="BA16" s="1">
        <f t="shared" si="0"/>
        <v>627195</v>
      </c>
      <c r="BB16" s="1">
        <f t="shared" si="0"/>
        <v>627453</v>
      </c>
      <c r="BC16" s="1">
        <f t="shared" si="0"/>
        <v>627275</v>
      </c>
      <c r="BD16" s="1">
        <f t="shared" si="0"/>
        <v>627405</v>
      </c>
      <c r="BE16" s="1">
        <f t="shared" si="0"/>
        <v>627031</v>
      </c>
      <c r="BF16" s="1">
        <f t="shared" si="0"/>
        <v>627870</v>
      </c>
      <c r="BG16" s="1">
        <f t="shared" si="0"/>
        <v>627424</v>
      </c>
      <c r="BH16" s="1">
        <f t="shared" si="0"/>
        <v>627218</v>
      </c>
      <c r="BI16" s="1">
        <f t="shared" si="0"/>
        <v>625923</v>
      </c>
      <c r="BJ16" s="1">
        <f t="shared" si="0"/>
        <v>624914</v>
      </c>
      <c r="BK16" s="1">
        <f t="shared" si="0"/>
        <v>624818</v>
      </c>
      <c r="BL16" s="1">
        <f t="shared" si="0"/>
        <v>625483</v>
      </c>
      <c r="BM16" s="1">
        <f t="shared" si="0"/>
        <v>625713</v>
      </c>
      <c r="BN16" s="1">
        <f t="shared" si="0"/>
        <v>626212</v>
      </c>
      <c r="BO16" s="1">
        <f t="shared" si="0"/>
        <v>626024</v>
      </c>
      <c r="BP16" s="1">
        <f t="shared" ref="BP16:EA16" si="1">SUM(BP6:BP15)</f>
        <v>630070</v>
      </c>
      <c r="BQ16" s="1">
        <f t="shared" si="1"/>
        <v>634049</v>
      </c>
      <c r="BR16" s="1">
        <f t="shared" si="1"/>
        <v>637785</v>
      </c>
      <c r="BS16" s="1">
        <f t="shared" si="1"/>
        <v>640937</v>
      </c>
      <c r="BT16" s="1">
        <f t="shared" si="1"/>
        <v>644380</v>
      </c>
      <c r="BU16" s="1">
        <f t="shared" si="1"/>
        <v>647168</v>
      </c>
      <c r="BV16" s="1">
        <f t="shared" si="1"/>
        <v>640141</v>
      </c>
      <c r="BW16" s="1">
        <f t="shared" si="1"/>
        <v>643355</v>
      </c>
      <c r="BX16" s="1">
        <f t="shared" si="1"/>
        <v>646778</v>
      </c>
      <c r="BY16" s="1">
        <f t="shared" si="1"/>
        <v>649573</v>
      </c>
      <c r="BZ16" s="1">
        <f t="shared" si="1"/>
        <v>652413</v>
      </c>
      <c r="CA16" s="1">
        <f t="shared" si="1"/>
        <v>655779</v>
      </c>
      <c r="CB16" s="1">
        <f t="shared" si="1"/>
        <v>658720</v>
      </c>
      <c r="CC16" s="1">
        <f t="shared" si="1"/>
        <v>662846</v>
      </c>
      <c r="CD16" s="1">
        <f t="shared" si="1"/>
        <v>666597</v>
      </c>
      <c r="CE16" s="1">
        <f t="shared" si="1"/>
        <v>670118</v>
      </c>
      <c r="CF16" s="1">
        <f t="shared" si="1"/>
        <v>673077</v>
      </c>
      <c r="CG16" s="1">
        <f t="shared" si="1"/>
        <v>677308</v>
      </c>
      <c r="CH16" s="1">
        <f t="shared" si="1"/>
        <v>679447</v>
      </c>
      <c r="CI16" s="1">
        <f t="shared" si="1"/>
        <v>682508</v>
      </c>
      <c r="CJ16" s="1">
        <f t="shared" si="1"/>
        <v>686662</v>
      </c>
      <c r="CK16" s="1">
        <f t="shared" si="1"/>
        <v>690247</v>
      </c>
      <c r="CL16" s="1">
        <f t="shared" si="1"/>
        <v>693628</v>
      </c>
      <c r="CM16" s="1">
        <f t="shared" si="1"/>
        <v>697634</v>
      </c>
      <c r="CN16" s="1">
        <f t="shared" si="1"/>
        <v>701145</v>
      </c>
      <c r="CO16" s="1">
        <f t="shared" si="1"/>
        <v>705369</v>
      </c>
      <c r="CP16" s="1">
        <f t="shared" si="1"/>
        <v>687024</v>
      </c>
      <c r="CQ16" s="1">
        <f t="shared" si="1"/>
        <v>691425</v>
      </c>
      <c r="CR16" s="1">
        <f t="shared" si="1"/>
        <v>695240</v>
      </c>
      <c r="CS16" s="1">
        <f t="shared" si="1"/>
        <v>699148</v>
      </c>
      <c r="CT16" s="1">
        <f t="shared" si="1"/>
        <v>701943</v>
      </c>
      <c r="CU16" s="1">
        <f t="shared" si="1"/>
        <v>705177</v>
      </c>
      <c r="CV16" s="1">
        <f t="shared" si="1"/>
        <v>709869</v>
      </c>
      <c r="CW16" s="1">
        <f t="shared" si="1"/>
        <v>713982</v>
      </c>
      <c r="CX16" s="1">
        <f t="shared" si="1"/>
        <v>718044</v>
      </c>
      <c r="CY16" s="1">
        <f t="shared" si="1"/>
        <v>721789</v>
      </c>
      <c r="CZ16" s="1">
        <f t="shared" si="1"/>
        <v>725679</v>
      </c>
      <c r="DA16" s="1">
        <f t="shared" si="1"/>
        <v>729836</v>
      </c>
      <c r="DB16" s="1">
        <f t="shared" si="1"/>
        <v>733452</v>
      </c>
      <c r="DC16" s="1">
        <f t="shared" si="1"/>
        <v>717247</v>
      </c>
      <c r="DD16" s="1">
        <f t="shared" si="1"/>
        <v>712675</v>
      </c>
      <c r="DE16" s="1">
        <f t="shared" si="1"/>
        <v>705367</v>
      </c>
      <c r="DF16" s="1">
        <f t="shared" si="1"/>
        <v>701340</v>
      </c>
      <c r="DG16" s="1">
        <f t="shared" si="1"/>
        <v>695671</v>
      </c>
      <c r="DH16" s="1">
        <f t="shared" si="1"/>
        <v>688917</v>
      </c>
      <c r="DI16" s="1">
        <f t="shared" si="1"/>
        <v>682531</v>
      </c>
      <c r="DJ16" s="1">
        <f t="shared" si="1"/>
        <v>676416</v>
      </c>
      <c r="DK16" s="1">
        <f t="shared" si="1"/>
        <v>669541</v>
      </c>
      <c r="DL16" s="1">
        <f t="shared" si="1"/>
        <v>672514</v>
      </c>
      <c r="DM16" s="1">
        <f t="shared" si="1"/>
        <v>665491</v>
      </c>
      <c r="DN16" s="1">
        <f t="shared" si="1"/>
        <v>665518</v>
      </c>
      <c r="DO16" s="1">
        <f t="shared" si="1"/>
        <v>665872</v>
      </c>
      <c r="DP16" s="1">
        <f t="shared" si="1"/>
        <v>667190</v>
      </c>
      <c r="DQ16" s="1">
        <f t="shared" si="1"/>
        <v>668026</v>
      </c>
      <c r="DR16" s="1">
        <f t="shared" si="1"/>
        <v>668482</v>
      </c>
      <c r="DS16" s="1">
        <f t="shared" si="1"/>
        <v>669942</v>
      </c>
      <c r="DT16" s="1">
        <f t="shared" si="1"/>
        <v>671748</v>
      </c>
      <c r="DU16" s="1">
        <f t="shared" si="1"/>
        <v>672851</v>
      </c>
      <c r="DV16" s="1">
        <f t="shared" si="1"/>
        <v>673913</v>
      </c>
      <c r="DW16" s="1">
        <f t="shared" si="1"/>
        <v>674463</v>
      </c>
      <c r="DX16" s="1">
        <f t="shared" si="1"/>
        <v>663406</v>
      </c>
      <c r="DY16" s="1">
        <f t="shared" si="1"/>
        <v>664678</v>
      </c>
      <c r="DZ16" s="1">
        <f t="shared" si="1"/>
        <v>667692</v>
      </c>
      <c r="EA16" s="1">
        <f t="shared" si="1"/>
        <v>669574</v>
      </c>
      <c r="EB16" s="1">
        <f t="shared" ref="EB16:EW16" si="2">SUM(EB6:EB15)</f>
        <v>670359</v>
      </c>
      <c r="EC16" s="1">
        <f t="shared" si="2"/>
        <v>670968</v>
      </c>
      <c r="ED16" s="1">
        <f t="shared" si="2"/>
        <v>672449</v>
      </c>
      <c r="EE16" s="1">
        <f t="shared" si="2"/>
        <v>672764</v>
      </c>
      <c r="EF16" s="1">
        <f t="shared" si="2"/>
        <v>672876</v>
      </c>
      <c r="EG16" s="1">
        <f t="shared" si="2"/>
        <v>672805</v>
      </c>
      <c r="EH16" s="1">
        <f t="shared" si="2"/>
        <v>674170</v>
      </c>
      <c r="EI16" s="1">
        <f t="shared" si="2"/>
        <v>674425</v>
      </c>
      <c r="EJ16" s="1">
        <f t="shared" si="2"/>
        <v>674440</v>
      </c>
      <c r="EK16" s="1">
        <f t="shared" si="2"/>
        <v>678242</v>
      </c>
      <c r="EL16" s="1">
        <f t="shared" si="2"/>
        <v>679154</v>
      </c>
      <c r="EM16" s="1">
        <f t="shared" si="2"/>
        <v>680113</v>
      </c>
      <c r="EN16" s="1">
        <f t="shared" si="2"/>
        <v>681457</v>
      </c>
      <c r="EO16" s="1">
        <f t="shared" si="2"/>
        <v>681528</v>
      </c>
      <c r="EP16" s="1">
        <f t="shared" si="2"/>
        <v>682003</v>
      </c>
      <c r="EQ16" s="1">
        <f t="shared" si="2"/>
        <v>682404</v>
      </c>
      <c r="ER16" s="1">
        <f t="shared" si="2"/>
        <v>682630</v>
      </c>
      <c r="ES16" s="1">
        <f t="shared" si="2"/>
        <v>682752</v>
      </c>
      <c r="ET16" s="1">
        <f t="shared" si="2"/>
        <v>683381</v>
      </c>
      <c r="EU16" s="1">
        <f t="shared" si="2"/>
        <v>684048</v>
      </c>
      <c r="EV16" s="1">
        <f t="shared" si="2"/>
        <v>684201</v>
      </c>
      <c r="EW16" s="1">
        <f t="shared" si="2"/>
        <v>682845</v>
      </c>
    </row>
    <row r="17" spans="1:125" x14ac:dyDescent="0.2">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row>
    <row r="18" spans="1:125" x14ac:dyDescent="0.2">
      <c r="A18" t="s">
        <v>50</v>
      </c>
      <c r="B18" s="1">
        <f>AVERAGE(CU16:DF16)</f>
        <v>716204.75</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row>
    <row r="19" spans="1:125" x14ac:dyDescent="0.2">
      <c r="A19" t="s">
        <v>55</v>
      </c>
      <c r="B19">
        <f>outputs!B1</f>
        <v>7112000000</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row>
    <row r="20" spans="1:125" x14ac:dyDescent="0.2">
      <c r="A20" t="s">
        <v>32</v>
      </c>
      <c r="B20">
        <f>outputs!B2</f>
        <v>8706</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row>
    <row r="21" spans="1:125" x14ac:dyDescent="0.2">
      <c r="A21" t="s">
        <v>33</v>
      </c>
      <c r="B21">
        <f>B20/4/1000000</f>
        <v>2.1765E-3</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row>
    <row r="22" spans="1:125" x14ac:dyDescent="0.2">
      <c r="A22" t="s">
        <v>29</v>
      </c>
      <c r="B22">
        <f>(EW6-CI6)/((COLUMNS(CI6:EW6)-1)/12)</f>
        <v>898</v>
      </c>
      <c r="C22">
        <f>B22/B23</f>
        <v>1.4073316021169526E-3</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row>
    <row r="23" spans="1:125" x14ac:dyDescent="0.2">
      <c r="A23" t="s">
        <v>307</v>
      </c>
      <c r="B23" s="1">
        <f>SUM(EW6:EW10)</f>
        <v>638087</v>
      </c>
    </row>
    <row r="24" spans="1:125" x14ac:dyDescent="0.2">
      <c r="B24" t="s">
        <v>30</v>
      </c>
      <c r="D24" t="s">
        <v>34</v>
      </c>
      <c r="E24" t="s">
        <v>49</v>
      </c>
    </row>
    <row r="25" spans="1:125" x14ac:dyDescent="0.2">
      <c r="A25">
        <v>2012</v>
      </c>
      <c r="B25" s="11">
        <f>COLUMNS(C$6:CC$6)-1</f>
        <v>78</v>
      </c>
      <c r="C25" s="1">
        <f ca="1">OFFSET($C$6, 0, B25)</f>
        <v>678</v>
      </c>
      <c r="D25">
        <f ca="1">C25*$B$21</f>
        <v>1.4756670000000001</v>
      </c>
      <c r="E25">
        <f ca="1">C25/B$23</f>
        <v>1.0625510314424208E-3</v>
      </c>
    </row>
    <row r="26" spans="1:125" x14ac:dyDescent="0.2">
      <c r="A26">
        <v>2013</v>
      </c>
      <c r="B26" s="7">
        <f>B25+12</f>
        <v>90</v>
      </c>
      <c r="C26" s="1">
        <f t="shared" ref="C26:C30" ca="1" si="3">OFFSET($C$6, 0, B26)</f>
        <v>1307</v>
      </c>
      <c r="D26">
        <f t="shared" ref="D26:D68" ca="1" si="4">C26*$B$21</f>
        <v>2.8446855000000002</v>
      </c>
      <c r="E26">
        <f t="shared" ref="E26:E63" ca="1" si="5">C26/B$23</f>
        <v>2.0483100266891507E-3</v>
      </c>
    </row>
    <row r="27" spans="1:125" x14ac:dyDescent="0.2">
      <c r="A27">
        <v>2014</v>
      </c>
      <c r="B27">
        <f t="shared" ref="B27:B31" si="6">B26+12</f>
        <v>102</v>
      </c>
      <c r="C27" s="1">
        <f t="shared" ca="1" si="3"/>
        <v>2002</v>
      </c>
      <c r="D27">
        <f t="shared" ca="1" si="4"/>
        <v>4.3573529999999998</v>
      </c>
      <c r="E27">
        <f t="shared" ca="1" si="5"/>
        <v>3.1375031931382396E-3</v>
      </c>
    </row>
    <row r="28" spans="1:125" x14ac:dyDescent="0.2">
      <c r="A28">
        <v>2015</v>
      </c>
      <c r="B28">
        <f t="shared" si="6"/>
        <v>114</v>
      </c>
      <c r="C28" s="1">
        <f t="shared" ca="1" si="3"/>
        <v>2680</v>
      </c>
      <c r="D28">
        <f t="shared" ca="1" si="4"/>
        <v>5.8330200000000003</v>
      </c>
      <c r="E28">
        <f t="shared" ca="1" si="5"/>
        <v>4.2000542245806604E-3</v>
      </c>
    </row>
    <row r="29" spans="1:125" x14ac:dyDescent="0.2">
      <c r="A29">
        <v>2016</v>
      </c>
      <c r="B29">
        <f t="shared" si="6"/>
        <v>126</v>
      </c>
      <c r="C29" s="1">
        <f t="shared" ca="1" si="3"/>
        <v>3451</v>
      </c>
      <c r="D29">
        <f t="shared" ca="1" si="4"/>
        <v>7.5111015000000005</v>
      </c>
      <c r="E29">
        <f t="shared" ca="1" si="5"/>
        <v>5.4083534063536793E-3</v>
      </c>
    </row>
    <row r="30" spans="1:125" x14ac:dyDescent="0.2">
      <c r="A30">
        <v>2017</v>
      </c>
      <c r="B30">
        <f t="shared" si="6"/>
        <v>138</v>
      </c>
      <c r="C30" s="34">
        <f t="shared" ca="1" si="3"/>
        <v>4769</v>
      </c>
      <c r="D30">
        <f t="shared" ca="1" si="4"/>
        <v>10.379728500000001</v>
      </c>
      <c r="E30">
        <f t="shared" ca="1" si="5"/>
        <v>7.4739024615765558E-3</v>
      </c>
    </row>
    <row r="31" spans="1:125" x14ac:dyDescent="0.2">
      <c r="A31">
        <v>2018</v>
      </c>
      <c r="B31">
        <f t="shared" si="6"/>
        <v>150</v>
      </c>
      <c r="C31" s="34">
        <f t="shared" ref="C31" ca="1" si="7">OFFSET($C$6, 0, B31)</f>
        <v>5845</v>
      </c>
      <c r="D31">
        <f t="shared" ca="1" si="4"/>
        <v>12.7216425</v>
      </c>
      <c r="E31">
        <f t="shared" ca="1" si="5"/>
        <v>9.1601928890574485E-3</v>
      </c>
    </row>
    <row r="32" spans="1:125" x14ac:dyDescent="0.2">
      <c r="A32">
        <v>2019</v>
      </c>
      <c r="C32" s="11">
        <f t="shared" ref="C32:C63" ca="1" si="8">C31+B$22</f>
        <v>6743</v>
      </c>
      <c r="D32">
        <f t="shared" ca="1" si="4"/>
        <v>14.6761395</v>
      </c>
      <c r="E32">
        <f t="shared" ca="1" si="5"/>
        <v>1.0567524491174402E-2</v>
      </c>
    </row>
    <row r="33" spans="1:5" x14ac:dyDescent="0.2">
      <c r="A33">
        <v>2020</v>
      </c>
      <c r="C33" s="1">
        <f t="shared" ca="1" si="8"/>
        <v>7641</v>
      </c>
      <c r="D33">
        <f t="shared" ca="1" si="4"/>
        <v>16.630636500000001</v>
      </c>
      <c r="E33">
        <f t="shared" ca="1" si="5"/>
        <v>1.1974856093291355E-2</v>
      </c>
    </row>
    <row r="34" spans="1:5" x14ac:dyDescent="0.2">
      <c r="A34">
        <v>2021</v>
      </c>
      <c r="C34" s="1">
        <f t="shared" ca="1" si="8"/>
        <v>8539</v>
      </c>
      <c r="D34">
        <f t="shared" ca="1" si="4"/>
        <v>18.585133500000001</v>
      </c>
      <c r="E34">
        <f t="shared" ca="1" si="5"/>
        <v>1.3382187695408306E-2</v>
      </c>
    </row>
    <row r="35" spans="1:5" x14ac:dyDescent="0.2">
      <c r="A35">
        <v>2022</v>
      </c>
      <c r="C35" s="1">
        <f t="shared" ca="1" si="8"/>
        <v>9437</v>
      </c>
      <c r="D35">
        <f t="shared" ca="1" si="4"/>
        <v>20.539630500000001</v>
      </c>
      <c r="E35">
        <f t="shared" ca="1" si="5"/>
        <v>1.4789519297525259E-2</v>
      </c>
    </row>
    <row r="36" spans="1:5" x14ac:dyDescent="0.2">
      <c r="A36">
        <v>2023</v>
      </c>
      <c r="C36" s="1">
        <f t="shared" ca="1" si="8"/>
        <v>10335</v>
      </c>
      <c r="D36">
        <f t="shared" ca="1" si="4"/>
        <v>22.494127500000001</v>
      </c>
      <c r="E36">
        <f t="shared" ca="1" si="5"/>
        <v>1.619685089964221E-2</v>
      </c>
    </row>
    <row r="37" spans="1:5" x14ac:dyDescent="0.2">
      <c r="A37">
        <v>2024</v>
      </c>
      <c r="C37" s="1">
        <f t="shared" ca="1" si="8"/>
        <v>11233</v>
      </c>
      <c r="D37">
        <f t="shared" ca="1" si="4"/>
        <v>24.448624500000001</v>
      </c>
      <c r="E37">
        <f t="shared" ca="1" si="5"/>
        <v>1.7604182501759165E-2</v>
      </c>
    </row>
    <row r="38" spans="1:5" x14ac:dyDescent="0.2">
      <c r="A38">
        <v>2025</v>
      </c>
      <c r="C38" s="1">
        <f t="shared" ca="1" si="8"/>
        <v>12131</v>
      </c>
      <c r="D38">
        <f t="shared" ca="1" si="4"/>
        <v>26.403121500000001</v>
      </c>
      <c r="E38">
        <f t="shared" ca="1" si="5"/>
        <v>1.9011514103876116E-2</v>
      </c>
    </row>
    <row r="39" spans="1:5" x14ac:dyDescent="0.2">
      <c r="A39">
        <v>2026</v>
      </c>
      <c r="C39" s="1">
        <f t="shared" ca="1" si="8"/>
        <v>13029</v>
      </c>
      <c r="D39">
        <f t="shared" ca="1" si="4"/>
        <v>28.357618500000001</v>
      </c>
      <c r="E39">
        <f t="shared" ca="1" si="5"/>
        <v>2.0418845705993071E-2</v>
      </c>
    </row>
    <row r="40" spans="1:5" x14ac:dyDescent="0.2">
      <c r="A40">
        <v>2027</v>
      </c>
      <c r="C40" s="1">
        <f t="shared" ca="1" si="8"/>
        <v>13927</v>
      </c>
      <c r="D40">
        <f t="shared" ca="1" si="4"/>
        <v>30.312115500000001</v>
      </c>
      <c r="E40">
        <f t="shared" ca="1" si="5"/>
        <v>2.1826177308110022E-2</v>
      </c>
    </row>
    <row r="41" spans="1:5" x14ac:dyDescent="0.2">
      <c r="A41">
        <v>2028</v>
      </c>
      <c r="C41" s="1">
        <f t="shared" ca="1" si="8"/>
        <v>14825</v>
      </c>
      <c r="D41">
        <f t="shared" ca="1" si="4"/>
        <v>32.266612500000001</v>
      </c>
      <c r="E41">
        <f t="shared" ca="1" si="5"/>
        <v>2.3233508910226974E-2</v>
      </c>
    </row>
    <row r="42" spans="1:5" x14ac:dyDescent="0.2">
      <c r="A42">
        <v>2029</v>
      </c>
      <c r="C42" s="1">
        <f t="shared" ca="1" si="8"/>
        <v>15723</v>
      </c>
      <c r="D42">
        <f t="shared" ca="1" si="4"/>
        <v>34.221109500000004</v>
      </c>
      <c r="E42">
        <f t="shared" ca="1" si="5"/>
        <v>2.4640840512343928E-2</v>
      </c>
    </row>
    <row r="43" spans="1:5" x14ac:dyDescent="0.2">
      <c r="A43">
        <v>2030</v>
      </c>
      <c r="C43" s="1">
        <f t="shared" ca="1" si="8"/>
        <v>16621</v>
      </c>
      <c r="D43">
        <f t="shared" ca="1" si="4"/>
        <v>36.175606500000001</v>
      </c>
      <c r="E43">
        <f t="shared" ca="1" si="5"/>
        <v>2.604817211446088E-2</v>
      </c>
    </row>
    <row r="44" spans="1:5" x14ac:dyDescent="0.2">
      <c r="A44">
        <v>2031</v>
      </c>
      <c r="C44" s="1">
        <f t="shared" ca="1" si="8"/>
        <v>17519</v>
      </c>
      <c r="D44">
        <f t="shared" ca="1" si="4"/>
        <v>38.130103500000004</v>
      </c>
      <c r="E44">
        <f t="shared" ca="1" si="5"/>
        <v>2.7455503716577834E-2</v>
      </c>
    </row>
    <row r="45" spans="1:5" x14ac:dyDescent="0.2">
      <c r="A45">
        <v>2032</v>
      </c>
      <c r="C45" s="1">
        <f t="shared" ca="1" si="8"/>
        <v>18417</v>
      </c>
      <c r="D45">
        <f t="shared" ca="1" si="4"/>
        <v>40.084600500000001</v>
      </c>
      <c r="E45">
        <f t="shared" ca="1" si="5"/>
        <v>2.8862835318694786E-2</v>
      </c>
    </row>
    <row r="46" spans="1:5" x14ac:dyDescent="0.2">
      <c r="A46">
        <v>2033</v>
      </c>
      <c r="C46" s="1">
        <f t="shared" ca="1" si="8"/>
        <v>19315</v>
      </c>
      <c r="D46">
        <f t="shared" ca="1" si="4"/>
        <v>42.039097500000004</v>
      </c>
      <c r="E46">
        <f t="shared" ca="1" si="5"/>
        <v>3.027016692081174E-2</v>
      </c>
    </row>
    <row r="47" spans="1:5" x14ac:dyDescent="0.2">
      <c r="A47">
        <v>2034</v>
      </c>
      <c r="C47" s="1">
        <f t="shared" ca="1" si="8"/>
        <v>20213</v>
      </c>
      <c r="D47">
        <f t="shared" ca="1" si="4"/>
        <v>43.9935945</v>
      </c>
      <c r="E47">
        <f t="shared" ca="1" si="5"/>
        <v>3.1677498522928692E-2</v>
      </c>
    </row>
    <row r="48" spans="1:5" x14ac:dyDescent="0.2">
      <c r="A48">
        <v>2035</v>
      </c>
      <c r="C48" s="1">
        <f t="shared" ca="1" si="8"/>
        <v>21111</v>
      </c>
      <c r="D48">
        <f t="shared" ca="1" si="4"/>
        <v>45.948091500000004</v>
      </c>
      <c r="E48">
        <f t="shared" ca="1" si="5"/>
        <v>3.3084830125045643E-2</v>
      </c>
    </row>
    <row r="49" spans="1:5" x14ac:dyDescent="0.2">
      <c r="A49">
        <v>2036</v>
      </c>
      <c r="C49" s="1">
        <f t="shared" ca="1" si="8"/>
        <v>22009</v>
      </c>
      <c r="D49">
        <f t="shared" ca="1" si="4"/>
        <v>47.9025885</v>
      </c>
      <c r="E49">
        <f t="shared" ca="1" si="5"/>
        <v>3.4492161727162594E-2</v>
      </c>
    </row>
    <row r="50" spans="1:5" x14ac:dyDescent="0.2">
      <c r="A50">
        <v>2037</v>
      </c>
      <c r="C50" s="1">
        <f t="shared" ca="1" si="8"/>
        <v>22907</v>
      </c>
      <c r="D50">
        <f t="shared" ca="1" si="4"/>
        <v>49.857085500000004</v>
      </c>
      <c r="E50">
        <f t="shared" ca="1" si="5"/>
        <v>3.5899493329279553E-2</v>
      </c>
    </row>
    <row r="51" spans="1:5" x14ac:dyDescent="0.2">
      <c r="A51">
        <v>2038</v>
      </c>
      <c r="C51" s="1">
        <f t="shared" ca="1" si="8"/>
        <v>23805</v>
      </c>
      <c r="D51">
        <f t="shared" ca="1" si="4"/>
        <v>51.8115825</v>
      </c>
      <c r="E51">
        <f t="shared" ca="1" si="5"/>
        <v>3.7306824931396504E-2</v>
      </c>
    </row>
    <row r="52" spans="1:5" x14ac:dyDescent="0.2">
      <c r="A52">
        <v>2039</v>
      </c>
      <c r="C52" s="1">
        <f t="shared" ca="1" si="8"/>
        <v>24703</v>
      </c>
      <c r="D52">
        <f t="shared" ca="1" si="4"/>
        <v>53.766079500000004</v>
      </c>
      <c r="E52">
        <f t="shared" ca="1" si="5"/>
        <v>3.8714156533513455E-2</v>
      </c>
    </row>
    <row r="53" spans="1:5" x14ac:dyDescent="0.2">
      <c r="A53">
        <v>2040</v>
      </c>
      <c r="C53" s="1">
        <f t="shared" ca="1" si="8"/>
        <v>25601</v>
      </c>
      <c r="D53">
        <f t="shared" ca="1" si="4"/>
        <v>55.7205765</v>
      </c>
      <c r="E53">
        <f t="shared" ca="1" si="5"/>
        <v>4.0121488135630407E-2</v>
      </c>
    </row>
    <row r="54" spans="1:5" x14ac:dyDescent="0.2">
      <c r="A54">
        <v>2041</v>
      </c>
      <c r="C54" s="1">
        <f t="shared" ca="1" si="8"/>
        <v>26499</v>
      </c>
      <c r="D54">
        <f t="shared" ca="1" si="4"/>
        <v>57.675073500000003</v>
      </c>
      <c r="E54">
        <f t="shared" ca="1" si="5"/>
        <v>4.1528819737747358E-2</v>
      </c>
    </row>
    <row r="55" spans="1:5" x14ac:dyDescent="0.2">
      <c r="A55">
        <v>2042</v>
      </c>
      <c r="C55" s="1">
        <f t="shared" ca="1" si="8"/>
        <v>27397</v>
      </c>
      <c r="D55">
        <f t="shared" ca="1" si="4"/>
        <v>59.6295705</v>
      </c>
      <c r="E55">
        <f t="shared" ca="1" si="5"/>
        <v>4.2936151339864316E-2</v>
      </c>
    </row>
    <row r="56" spans="1:5" x14ac:dyDescent="0.2">
      <c r="A56">
        <v>2043</v>
      </c>
      <c r="C56" s="1">
        <f t="shared" ca="1" si="8"/>
        <v>28295</v>
      </c>
      <c r="D56">
        <f t="shared" ca="1" si="4"/>
        <v>61.584067500000003</v>
      </c>
      <c r="E56">
        <f t="shared" ca="1" si="5"/>
        <v>4.4343482941981267E-2</v>
      </c>
    </row>
    <row r="57" spans="1:5" x14ac:dyDescent="0.2">
      <c r="A57">
        <v>2044</v>
      </c>
      <c r="C57" s="1">
        <f t="shared" ca="1" si="8"/>
        <v>29193</v>
      </c>
      <c r="D57">
        <f t="shared" ca="1" si="4"/>
        <v>63.5385645</v>
      </c>
      <c r="E57">
        <f t="shared" ca="1" si="5"/>
        <v>4.5750814544098219E-2</v>
      </c>
    </row>
    <row r="58" spans="1:5" x14ac:dyDescent="0.2">
      <c r="A58">
        <v>2045</v>
      </c>
      <c r="C58" s="1">
        <f t="shared" ca="1" si="8"/>
        <v>30091</v>
      </c>
      <c r="D58">
        <f t="shared" ca="1" si="4"/>
        <v>65.493061499999996</v>
      </c>
      <c r="E58">
        <f t="shared" ca="1" si="5"/>
        <v>4.715814614621517E-2</v>
      </c>
    </row>
    <row r="59" spans="1:5" x14ac:dyDescent="0.2">
      <c r="A59">
        <v>2046</v>
      </c>
      <c r="C59" s="1">
        <f t="shared" ca="1" si="8"/>
        <v>30989</v>
      </c>
      <c r="D59">
        <f t="shared" ca="1" si="4"/>
        <v>67.4475585</v>
      </c>
      <c r="E59">
        <f t="shared" ca="1" si="5"/>
        <v>4.8565477748332121E-2</v>
      </c>
    </row>
    <row r="60" spans="1:5" x14ac:dyDescent="0.2">
      <c r="A60">
        <v>2047</v>
      </c>
      <c r="C60" s="1">
        <f t="shared" ca="1" si="8"/>
        <v>31887</v>
      </c>
      <c r="D60">
        <f t="shared" ca="1" si="4"/>
        <v>69.402055500000003</v>
      </c>
      <c r="E60">
        <f t="shared" ca="1" si="5"/>
        <v>4.9972809350449079E-2</v>
      </c>
    </row>
    <row r="61" spans="1:5" x14ac:dyDescent="0.2">
      <c r="A61">
        <v>2048</v>
      </c>
      <c r="C61" s="1">
        <f t="shared" ca="1" si="8"/>
        <v>32785</v>
      </c>
      <c r="D61">
        <f t="shared" ca="1" si="4"/>
        <v>71.356552500000006</v>
      </c>
      <c r="E61">
        <f t="shared" ca="1" si="5"/>
        <v>5.1380140952566031E-2</v>
      </c>
    </row>
    <row r="62" spans="1:5" x14ac:dyDescent="0.2">
      <c r="A62">
        <v>2049</v>
      </c>
      <c r="C62" s="1">
        <f t="shared" ca="1" si="8"/>
        <v>33683</v>
      </c>
      <c r="D62">
        <f t="shared" ca="1" si="4"/>
        <v>73.311049499999996</v>
      </c>
      <c r="E62">
        <f t="shared" ca="1" si="5"/>
        <v>5.2787472554682982E-2</v>
      </c>
    </row>
    <row r="63" spans="1:5" x14ac:dyDescent="0.2">
      <c r="A63">
        <v>2050</v>
      </c>
      <c r="C63" s="1">
        <f t="shared" ca="1" si="8"/>
        <v>34581</v>
      </c>
      <c r="D63">
        <f t="shared" ca="1" si="4"/>
        <v>75.265546499999999</v>
      </c>
      <c r="E63">
        <f t="shared" ca="1" si="5"/>
        <v>5.4194804156799933E-2</v>
      </c>
    </row>
    <row r="64" spans="1:5" x14ac:dyDescent="0.2">
      <c r="A64">
        <v>2051</v>
      </c>
      <c r="C64" s="1">
        <f t="shared" ref="C64:C68" ca="1" si="9">C63+B$22</f>
        <v>35479</v>
      </c>
      <c r="D64">
        <f t="shared" ca="1" si="4"/>
        <v>77.220043500000003</v>
      </c>
      <c r="E64">
        <f t="shared" ref="E64:E68" ca="1" si="10">C64/B$23</f>
        <v>5.5602135758916885E-2</v>
      </c>
    </row>
    <row r="65" spans="1:5" x14ac:dyDescent="0.2">
      <c r="A65">
        <v>2052</v>
      </c>
      <c r="C65" s="1">
        <f t="shared" ca="1" si="9"/>
        <v>36377</v>
      </c>
      <c r="D65">
        <f t="shared" ca="1" si="4"/>
        <v>79.174540500000006</v>
      </c>
      <c r="E65">
        <f t="shared" ca="1" si="10"/>
        <v>5.7009467361033843E-2</v>
      </c>
    </row>
    <row r="66" spans="1:5" x14ac:dyDescent="0.2">
      <c r="A66">
        <v>2053</v>
      </c>
      <c r="C66" s="1">
        <f t="shared" ca="1" si="9"/>
        <v>37275</v>
      </c>
      <c r="D66">
        <f t="shared" ca="1" si="4"/>
        <v>81.129037499999995</v>
      </c>
      <c r="E66">
        <f t="shared" ca="1" si="10"/>
        <v>5.8416798963150794E-2</v>
      </c>
    </row>
    <row r="67" spans="1:5" x14ac:dyDescent="0.2">
      <c r="A67">
        <v>2054</v>
      </c>
      <c r="C67" s="1">
        <f t="shared" ca="1" si="9"/>
        <v>38173</v>
      </c>
      <c r="D67">
        <f t="shared" ca="1" si="4"/>
        <v>83.083534499999999</v>
      </c>
      <c r="E67">
        <f t="shared" ca="1" si="10"/>
        <v>5.9824130565267745E-2</v>
      </c>
    </row>
    <row r="68" spans="1:5" x14ac:dyDescent="0.2">
      <c r="A68">
        <v>2055</v>
      </c>
      <c r="C68" s="1">
        <f t="shared" ca="1" si="9"/>
        <v>39071</v>
      </c>
      <c r="D68">
        <f t="shared" ca="1" si="4"/>
        <v>85.038031500000002</v>
      </c>
      <c r="E68">
        <f t="shared" ca="1" si="10"/>
        <v>6.1231462167384697E-2</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A7D5A-BF71-FD4E-B052-18B78C50D6D3}">
  <dimension ref="A1:C38"/>
  <sheetViews>
    <sheetView zoomScale="114" zoomScaleNormal="114" workbookViewId="0">
      <selection activeCell="M46" sqref="M46"/>
    </sheetView>
  </sheetViews>
  <sheetFormatPr baseColWidth="10" defaultRowHeight="16" x14ac:dyDescent="0.2"/>
  <cols>
    <col min="3" max="3" width="9.6640625" customWidth="1"/>
  </cols>
  <sheetData>
    <row r="1" spans="1:3" x14ac:dyDescent="0.2">
      <c r="A1" t="s">
        <v>313</v>
      </c>
    </row>
    <row r="2" spans="1:3" x14ac:dyDescent="0.2">
      <c r="A2" s="37" t="s">
        <v>309</v>
      </c>
    </row>
    <row r="5" spans="1:3" x14ac:dyDescent="0.2">
      <c r="A5" t="s">
        <v>310</v>
      </c>
      <c r="B5" t="s">
        <v>311</v>
      </c>
    </row>
    <row r="6" spans="1:3" x14ac:dyDescent="0.2">
      <c r="A6">
        <v>2018</v>
      </c>
      <c r="B6" s="38">
        <v>1.12E-2</v>
      </c>
    </row>
    <row r="7" spans="1:3" x14ac:dyDescent="0.2">
      <c r="A7">
        <f>A6+1</f>
        <v>2019</v>
      </c>
      <c r="B7" s="38">
        <v>1.26E-2</v>
      </c>
      <c r="C7" s="39"/>
    </row>
    <row r="8" spans="1:3" x14ac:dyDescent="0.2">
      <c r="A8">
        <f>A7+1</f>
        <v>2020</v>
      </c>
      <c r="B8" s="38">
        <v>1.55E-2</v>
      </c>
      <c r="C8" s="39"/>
    </row>
    <row r="9" spans="1:3" x14ac:dyDescent="0.2">
      <c r="A9">
        <f>A8+1</f>
        <v>2021</v>
      </c>
      <c r="B9" s="38">
        <v>1.84E-2</v>
      </c>
      <c r="C9" s="39"/>
    </row>
    <row r="10" spans="1:3" x14ac:dyDescent="0.2">
      <c r="A10">
        <f>A9+1</f>
        <v>2022</v>
      </c>
      <c r="B10" s="38">
        <v>2.1499999999999998E-2</v>
      </c>
      <c r="C10" s="39"/>
    </row>
    <row r="11" spans="1:3" x14ac:dyDescent="0.2">
      <c r="A11">
        <f>A10+1</f>
        <v>2023</v>
      </c>
      <c r="B11" s="38">
        <v>2.64E-2</v>
      </c>
      <c r="C11" s="39"/>
    </row>
    <row r="12" spans="1:3" x14ac:dyDescent="0.2">
      <c r="A12">
        <f>A11+1</f>
        <v>2024</v>
      </c>
      <c r="B12" s="38">
        <v>3.15E-2</v>
      </c>
      <c r="C12" s="39"/>
    </row>
    <row r="13" spans="1:3" x14ac:dyDescent="0.2">
      <c r="A13">
        <f>A12+1</f>
        <v>2025</v>
      </c>
      <c r="B13" s="38">
        <v>3.7999999999999999E-2</v>
      </c>
      <c r="C13" s="39"/>
    </row>
    <row r="14" spans="1:3" x14ac:dyDescent="0.2">
      <c r="A14">
        <f>A13+1</f>
        <v>2026</v>
      </c>
      <c r="B14" s="38">
        <v>4.4999999999999998E-2</v>
      </c>
      <c r="C14" s="39"/>
    </row>
    <row r="15" spans="1:3" x14ac:dyDescent="0.2">
      <c r="A15">
        <f>A14+1</f>
        <v>2027</v>
      </c>
      <c r="B15" s="38">
        <v>5.28E-2</v>
      </c>
      <c r="C15" s="39"/>
    </row>
    <row r="16" spans="1:3" x14ac:dyDescent="0.2">
      <c r="A16">
        <f>A15+1</f>
        <v>2028</v>
      </c>
      <c r="B16" s="38">
        <v>6.2600000000000003E-2</v>
      </c>
      <c r="C16" s="39"/>
    </row>
    <row r="17" spans="1:3" x14ac:dyDescent="0.2">
      <c r="A17">
        <f>A16+1</f>
        <v>2029</v>
      </c>
      <c r="B17" s="38">
        <v>7.2999999999999995E-2</v>
      </c>
      <c r="C17" s="39"/>
    </row>
    <row r="18" spans="1:3" x14ac:dyDescent="0.2">
      <c r="A18">
        <f>A17+1</f>
        <v>2030</v>
      </c>
      <c r="B18" s="38">
        <v>8.4500000000000006E-2</v>
      </c>
      <c r="C18" s="39"/>
    </row>
    <row r="19" spans="1:3" x14ac:dyDescent="0.2">
      <c r="A19">
        <f>A18+1</f>
        <v>2031</v>
      </c>
      <c r="B19" s="38">
        <v>9.7199999999999995E-2</v>
      </c>
      <c r="C19" s="39"/>
    </row>
    <row r="20" spans="1:3" x14ac:dyDescent="0.2">
      <c r="A20">
        <f>A19+1</f>
        <v>2032</v>
      </c>
      <c r="B20" s="38">
        <v>0.1128</v>
      </c>
      <c r="C20" s="39"/>
    </row>
    <row r="21" spans="1:3" x14ac:dyDescent="0.2">
      <c r="A21">
        <f>A20+1</f>
        <v>2033</v>
      </c>
      <c r="B21" s="38">
        <v>0.128</v>
      </c>
      <c r="C21" s="39"/>
    </row>
    <row r="22" spans="1:3" x14ac:dyDescent="0.2">
      <c r="A22">
        <f>A21+1</f>
        <v>2034</v>
      </c>
      <c r="B22" s="38">
        <v>0.14549999999999999</v>
      </c>
      <c r="C22" s="39"/>
    </row>
    <row r="23" spans="1:3" x14ac:dyDescent="0.2">
      <c r="A23">
        <f>A22+1</f>
        <v>2035</v>
      </c>
      <c r="B23" s="38">
        <v>0.16500000000000001</v>
      </c>
      <c r="C23" s="39"/>
    </row>
    <row r="24" spans="1:3" x14ac:dyDescent="0.2">
      <c r="A24">
        <f>A23+1</f>
        <v>2036</v>
      </c>
      <c r="B24" s="38">
        <v>0.18379999999999999</v>
      </c>
      <c r="C24" s="39"/>
    </row>
    <row r="25" spans="1:3" x14ac:dyDescent="0.2">
      <c r="A25">
        <f>A24+1</f>
        <v>2037</v>
      </c>
      <c r="B25" s="38">
        <v>0.20599999999999999</v>
      </c>
      <c r="C25" s="39"/>
    </row>
    <row r="26" spans="1:3" x14ac:dyDescent="0.2">
      <c r="A26">
        <f>A25+1</f>
        <v>2038</v>
      </c>
      <c r="B26" s="38">
        <v>0.23150000000000001</v>
      </c>
      <c r="C26" s="39"/>
    </row>
    <row r="27" spans="1:3" x14ac:dyDescent="0.2">
      <c r="A27">
        <f>A26+1</f>
        <v>2039</v>
      </c>
      <c r="B27" s="38">
        <v>0.26050000000000001</v>
      </c>
      <c r="C27" s="39"/>
    </row>
    <row r="28" spans="1:3" x14ac:dyDescent="0.2">
      <c r="A28">
        <f>A27+1</f>
        <v>2040</v>
      </c>
      <c r="B28" s="38">
        <v>0.29549999999999998</v>
      </c>
      <c r="C28" s="39"/>
    </row>
    <row r="29" spans="1:3" x14ac:dyDescent="0.2">
      <c r="A29">
        <f>A28+1</f>
        <v>2041</v>
      </c>
      <c r="B29" s="38">
        <v>0.33650000000000002</v>
      </c>
      <c r="C29" s="39"/>
    </row>
    <row r="30" spans="1:3" x14ac:dyDescent="0.2">
      <c r="A30">
        <f>A29+1</f>
        <v>2042</v>
      </c>
      <c r="B30" s="38">
        <v>0.38100000000000001</v>
      </c>
      <c r="C30" s="39"/>
    </row>
    <row r="31" spans="1:3" x14ac:dyDescent="0.2">
      <c r="A31">
        <f>A30+1</f>
        <v>2043</v>
      </c>
      <c r="B31" s="38">
        <v>0.43049999999999999</v>
      </c>
      <c r="C31" s="39"/>
    </row>
    <row r="32" spans="1:3" x14ac:dyDescent="0.2">
      <c r="A32">
        <f>A31+1</f>
        <v>2044</v>
      </c>
      <c r="B32" s="38">
        <v>0.48549999999999999</v>
      </c>
      <c r="C32" s="39"/>
    </row>
    <row r="33" spans="1:3" x14ac:dyDescent="0.2">
      <c r="A33">
        <f>A32+1</f>
        <v>2045</v>
      </c>
      <c r="B33" s="38">
        <v>0.54500000000000004</v>
      </c>
    </row>
    <row r="34" spans="1:3" x14ac:dyDescent="0.2">
      <c r="A34">
        <f>A33+1</f>
        <v>2046</v>
      </c>
      <c r="B34" s="40">
        <f ca="1">B33+OFFSET($B$32, A$32-A34+1, 0)-OFFSET($B$32, A$32-A34, 0)</f>
        <v>0.59450000000000003</v>
      </c>
      <c r="C34" s="7" t="s">
        <v>312</v>
      </c>
    </row>
    <row r="35" spans="1:3" x14ac:dyDescent="0.2">
      <c r="A35">
        <f>A34+1</f>
        <v>2047</v>
      </c>
      <c r="B35" s="38">
        <f t="shared" ref="B35:B38" ca="1" si="0">B34+OFFSET($B$32, A$32-A35+1, 0)-OFFSET($B$32, A$32-A35, 0)</f>
        <v>0.63900000000000001</v>
      </c>
    </row>
    <row r="36" spans="1:3" x14ac:dyDescent="0.2">
      <c r="A36">
        <f>A35+1</f>
        <v>2048</v>
      </c>
      <c r="B36" s="38">
        <f t="shared" ca="1" si="0"/>
        <v>0.68</v>
      </c>
    </row>
    <row r="37" spans="1:3" x14ac:dyDescent="0.2">
      <c r="A37">
        <f>A36+1</f>
        <v>2049</v>
      </c>
      <c r="B37" s="38">
        <f t="shared" ca="1" si="0"/>
        <v>0.71500000000000008</v>
      </c>
    </row>
    <row r="38" spans="1:3" x14ac:dyDescent="0.2">
      <c r="A38">
        <f>A37+1</f>
        <v>2050</v>
      </c>
      <c r="B38" s="38">
        <f t="shared" ca="1" si="0"/>
        <v>0.74399999999999999</v>
      </c>
    </row>
  </sheetData>
  <hyperlinks>
    <hyperlink ref="A2" r:id="rId1" xr:uid="{449076CE-8C85-5F43-9001-914D54621789}"/>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9"/>
  <sheetViews>
    <sheetView workbookViewId="0"/>
  </sheetViews>
  <sheetFormatPr baseColWidth="10" defaultRowHeight="16" x14ac:dyDescent="0.2"/>
  <cols>
    <col min="2" max="2" width="42.5" customWidth="1"/>
    <col min="3" max="3" width="14" customWidth="1"/>
    <col min="4" max="6" width="13.1640625" bestFit="1" customWidth="1"/>
    <col min="7" max="11" width="13.1640625" customWidth="1"/>
    <col min="14" max="14" width="39.1640625" customWidth="1"/>
  </cols>
  <sheetData>
    <row r="1" spans="1:14" x14ac:dyDescent="0.2">
      <c r="B1" t="s">
        <v>209</v>
      </c>
      <c r="N1" t="s">
        <v>237</v>
      </c>
    </row>
    <row r="2" spans="1:14" x14ac:dyDescent="0.2">
      <c r="B2" t="s">
        <v>210</v>
      </c>
      <c r="N2" t="s">
        <v>238</v>
      </c>
    </row>
    <row r="3" spans="1:14" x14ac:dyDescent="0.2">
      <c r="B3" t="s">
        <v>212</v>
      </c>
      <c r="N3" t="s">
        <v>239</v>
      </c>
    </row>
    <row r="4" spans="1:14" x14ac:dyDescent="0.2">
      <c r="B4" t="s">
        <v>211</v>
      </c>
      <c r="N4" t="s">
        <v>240</v>
      </c>
    </row>
    <row r="5" spans="1:14" x14ac:dyDescent="0.2">
      <c r="N5" t="s">
        <v>241</v>
      </c>
    </row>
    <row r="6" spans="1:14" x14ac:dyDescent="0.2">
      <c r="B6" t="s">
        <v>236</v>
      </c>
      <c r="N6" t="s">
        <v>242</v>
      </c>
    </row>
    <row r="7" spans="1:14" x14ac:dyDescent="0.2">
      <c r="A7" t="s">
        <v>219</v>
      </c>
      <c r="B7" t="s">
        <v>213</v>
      </c>
      <c r="C7" t="s">
        <v>226</v>
      </c>
      <c r="E7" t="s">
        <v>218</v>
      </c>
    </row>
    <row r="8" spans="1:14" x14ac:dyDescent="0.2">
      <c r="A8" t="s">
        <v>225</v>
      </c>
      <c r="B8" t="s">
        <v>224</v>
      </c>
      <c r="C8" t="s">
        <v>226</v>
      </c>
      <c r="N8" t="s">
        <v>243</v>
      </c>
    </row>
    <row r="9" spans="1:14" x14ac:dyDescent="0.2">
      <c r="A9" t="s">
        <v>223</v>
      </c>
      <c r="B9" t="s">
        <v>222</v>
      </c>
      <c r="C9" t="s">
        <v>226</v>
      </c>
      <c r="N9" t="s">
        <v>244</v>
      </c>
    </row>
    <row r="10" spans="1:14" x14ac:dyDescent="0.2">
      <c r="A10" t="s">
        <v>220</v>
      </c>
      <c r="B10" t="s">
        <v>214</v>
      </c>
      <c r="C10" t="s">
        <v>217</v>
      </c>
      <c r="N10" t="s">
        <v>245</v>
      </c>
    </row>
    <row r="11" spans="1:14" x14ac:dyDescent="0.2">
      <c r="A11" t="s">
        <v>221</v>
      </c>
      <c r="B11" t="s">
        <v>215</v>
      </c>
      <c r="C11" t="s">
        <v>216</v>
      </c>
      <c r="E11" t="s">
        <v>233</v>
      </c>
      <c r="L11" t="s">
        <v>235</v>
      </c>
    </row>
    <row r="12" spans="1:14" x14ac:dyDescent="0.2">
      <c r="B12" t="s">
        <v>227</v>
      </c>
      <c r="C12" t="s">
        <v>216</v>
      </c>
      <c r="E12" t="s">
        <v>233</v>
      </c>
      <c r="L12" t="s">
        <v>234</v>
      </c>
    </row>
    <row r="13" spans="1:14" x14ac:dyDescent="0.2">
      <c r="A13" t="s">
        <v>229</v>
      </c>
      <c r="B13" t="s">
        <v>228</v>
      </c>
      <c r="C13" t="s">
        <v>231</v>
      </c>
    </row>
    <row r="14" spans="1:14" x14ac:dyDescent="0.2">
      <c r="A14" t="s">
        <v>229</v>
      </c>
      <c r="B14" t="s">
        <v>230</v>
      </c>
      <c r="C14" t="s">
        <v>216</v>
      </c>
      <c r="D14" t="s">
        <v>232</v>
      </c>
    </row>
    <row r="15" spans="1:14" x14ac:dyDescent="0.2">
      <c r="B15" s="17"/>
    </row>
    <row r="16" spans="1:14" x14ac:dyDescent="0.2">
      <c r="B16" s="21" t="s">
        <v>169</v>
      </c>
    </row>
    <row r="17" spans="2:4" x14ac:dyDescent="0.2">
      <c r="B17" s="17" t="s">
        <v>168</v>
      </c>
      <c r="C17" s="14">
        <f>29120-24470</f>
        <v>4650</v>
      </c>
      <c r="D17" t="s">
        <v>164</v>
      </c>
    </row>
    <row r="18" spans="2:4" x14ac:dyDescent="0.2">
      <c r="B18" s="17" t="s">
        <v>170</v>
      </c>
      <c r="C18" s="14">
        <f>F70/F$67*C$17</f>
        <v>15934.812525224008</v>
      </c>
      <c r="D18" t="s">
        <v>172</v>
      </c>
    </row>
    <row r="19" spans="2:4" x14ac:dyDescent="0.2">
      <c r="B19" s="17" t="s">
        <v>171</v>
      </c>
      <c r="C19" s="14">
        <f>AVERAGE(C100,C154)</f>
        <v>401906.00498660933</v>
      </c>
      <c r="D19" t="s">
        <v>196</v>
      </c>
    </row>
    <row r="20" spans="2:4" x14ac:dyDescent="0.2">
      <c r="B20" s="17"/>
      <c r="C20" s="19"/>
    </row>
    <row r="21" spans="2:4" x14ac:dyDescent="0.2">
      <c r="B21" s="17"/>
      <c r="C21" s="19"/>
    </row>
    <row r="22" spans="2:4" x14ac:dyDescent="0.2">
      <c r="B22" s="21" t="s">
        <v>176</v>
      </c>
    </row>
    <row r="23" spans="2:4" x14ac:dyDescent="0.2">
      <c r="B23" s="17" t="s">
        <v>167</v>
      </c>
      <c r="C23" s="14">
        <v>1200</v>
      </c>
      <c r="D23" t="s">
        <v>166</v>
      </c>
    </row>
    <row r="24" spans="2:4" x14ac:dyDescent="0.2">
      <c r="B24" s="17" t="s">
        <v>199</v>
      </c>
      <c r="C24" s="14">
        <f>6000*190/272</f>
        <v>4191.1764705882351</v>
      </c>
      <c r="D24" t="s">
        <v>165</v>
      </c>
    </row>
    <row r="25" spans="2:4" x14ac:dyDescent="0.2">
      <c r="B25" s="17" t="s">
        <v>200</v>
      </c>
      <c r="C25" s="14">
        <f>10000*157/272</f>
        <v>5772.0588235294117</v>
      </c>
      <c r="D25" t="s">
        <v>198</v>
      </c>
    </row>
    <row r="26" spans="2:4" x14ac:dyDescent="0.2">
      <c r="B26" s="17" t="s">
        <v>201</v>
      </c>
      <c r="C26" s="14">
        <f>AVERAGE(C101,C155)</f>
        <v>89109.803804864234</v>
      </c>
      <c r="D26" t="s">
        <v>197</v>
      </c>
    </row>
    <row r="28" spans="2:4" x14ac:dyDescent="0.2">
      <c r="B28" s="7" t="s">
        <v>202</v>
      </c>
    </row>
    <row r="29" spans="2:4" x14ac:dyDescent="0.2">
      <c r="B29" s="10" t="s">
        <v>203</v>
      </c>
      <c r="C29">
        <v>1.3</v>
      </c>
      <c r="D29" t="s">
        <v>117</v>
      </c>
    </row>
    <row r="30" spans="2:4" x14ac:dyDescent="0.2">
      <c r="B30" s="10" t="s">
        <v>207</v>
      </c>
      <c r="C30">
        <v>1.3</v>
      </c>
      <c r="D30" t="s">
        <v>208</v>
      </c>
    </row>
    <row r="31" spans="2:4" x14ac:dyDescent="0.2">
      <c r="B31" t="s">
        <v>204</v>
      </c>
      <c r="C31">
        <f>ROUND(620/128.8,2)</f>
        <v>4.8099999999999996</v>
      </c>
      <c r="D31" t="s">
        <v>118</v>
      </c>
    </row>
    <row r="32" spans="2:4" x14ac:dyDescent="0.2">
      <c r="B32" t="s">
        <v>205</v>
      </c>
      <c r="C32">
        <f>ROUND(566/128.8,2)</f>
        <v>4.3899999999999997</v>
      </c>
      <c r="D32" t="s">
        <v>118</v>
      </c>
    </row>
    <row r="33" spans="2:15" x14ac:dyDescent="0.2">
      <c r="B33" t="s">
        <v>206</v>
      </c>
      <c r="C33">
        <f>ROUND(AVERAGE(112/34, 107/31), 2)</f>
        <v>3.37</v>
      </c>
      <c r="D33" t="s">
        <v>163</v>
      </c>
    </row>
    <row r="35" spans="2:15" x14ac:dyDescent="0.2">
      <c r="B35" t="s">
        <v>158</v>
      </c>
      <c r="C35">
        <v>120476</v>
      </c>
      <c r="D35" t="s">
        <v>157</v>
      </c>
    </row>
    <row r="36" spans="2:15" x14ac:dyDescent="0.2">
      <c r="B36" t="s">
        <v>159</v>
      </c>
      <c r="C36">
        <v>137452</v>
      </c>
      <c r="D36" t="s">
        <v>157</v>
      </c>
    </row>
    <row r="37" spans="2:15" x14ac:dyDescent="0.2">
      <c r="B37" t="s">
        <v>160</v>
      </c>
      <c r="C37">
        <v>3412</v>
      </c>
      <c r="D37" t="s">
        <v>157</v>
      </c>
    </row>
    <row r="38" spans="2:15" x14ac:dyDescent="0.2">
      <c r="B38" t="s">
        <v>161</v>
      </c>
      <c r="C38">
        <f>C35/C$37</f>
        <v>35.309495896834704</v>
      </c>
    </row>
    <row r="39" spans="2:15" x14ac:dyDescent="0.2">
      <c r="B39" t="s">
        <v>162</v>
      </c>
      <c r="C39">
        <f>C36/C$37</f>
        <v>40.284876905041031</v>
      </c>
    </row>
    <row r="41" spans="2:15" x14ac:dyDescent="0.2">
      <c r="B41" t="s">
        <v>121</v>
      </c>
    </row>
    <row r="42" spans="2:15" x14ac:dyDescent="0.2">
      <c r="B42" t="s">
        <v>123</v>
      </c>
      <c r="C42" t="s">
        <v>124</v>
      </c>
      <c r="D42" t="s">
        <v>133</v>
      </c>
    </row>
    <row r="43" spans="2:15" x14ac:dyDescent="0.2">
      <c r="B43" t="s">
        <v>125</v>
      </c>
      <c r="C43" t="s">
        <v>122</v>
      </c>
      <c r="D43" t="s">
        <v>132</v>
      </c>
      <c r="N43" t="s">
        <v>71</v>
      </c>
    </row>
    <row r="44" spans="2:15" x14ac:dyDescent="0.2">
      <c r="N44" t="s">
        <v>73</v>
      </c>
      <c r="O44">
        <f>360000*1.17/200</f>
        <v>2106</v>
      </c>
    </row>
    <row r="45" spans="2:15" x14ac:dyDescent="0.2">
      <c r="N45" t="s">
        <v>76</v>
      </c>
      <c r="O45">
        <f>1.17*250000/200</f>
        <v>1462.5</v>
      </c>
    </row>
    <row r="46" spans="2:15" x14ac:dyDescent="0.2">
      <c r="B46" t="s">
        <v>135</v>
      </c>
      <c r="C46" s="12">
        <v>296290171.64000005</v>
      </c>
      <c r="D46" t="s">
        <v>134</v>
      </c>
    </row>
    <row r="47" spans="2:15" x14ac:dyDescent="0.2">
      <c r="B47" t="s">
        <v>136</v>
      </c>
      <c r="C47" s="12">
        <v>26557276.630000006</v>
      </c>
      <c r="D47" t="s">
        <v>134</v>
      </c>
      <c r="N47" t="s">
        <v>78</v>
      </c>
    </row>
    <row r="48" spans="2:15" x14ac:dyDescent="0.2">
      <c r="B48" t="s">
        <v>137</v>
      </c>
      <c r="C48" s="12">
        <v>5565090</v>
      </c>
      <c r="D48" t="s">
        <v>138</v>
      </c>
      <c r="E48" t="s">
        <v>141</v>
      </c>
      <c r="N48" t="s">
        <v>76</v>
      </c>
      <c r="O48">
        <f>20000*1.17/50</f>
        <v>468</v>
      </c>
    </row>
    <row r="49" spans="2:15" x14ac:dyDescent="0.2">
      <c r="B49" t="s">
        <v>139</v>
      </c>
      <c r="C49" s="18">
        <f>C47-C48</f>
        <v>20992186.630000006</v>
      </c>
      <c r="D49" t="s">
        <v>140</v>
      </c>
    </row>
    <row r="50" spans="2:15" x14ac:dyDescent="0.2">
      <c r="F50" t="s">
        <v>156</v>
      </c>
    </row>
    <row r="51" spans="2:15" x14ac:dyDescent="0.2">
      <c r="B51" t="s">
        <v>149</v>
      </c>
      <c r="C51" s="1">
        <v>3399</v>
      </c>
      <c r="D51" t="s">
        <v>134</v>
      </c>
      <c r="N51" t="s">
        <v>74</v>
      </c>
    </row>
    <row r="52" spans="2:15" x14ac:dyDescent="0.2">
      <c r="B52" t="s">
        <v>150</v>
      </c>
      <c r="C52" s="1">
        <v>11289</v>
      </c>
      <c r="D52" t="s">
        <v>134</v>
      </c>
      <c r="N52" t="s">
        <v>72</v>
      </c>
    </row>
    <row r="53" spans="2:15" x14ac:dyDescent="0.2">
      <c r="B53" t="s">
        <v>152</v>
      </c>
      <c r="C53" s="18">
        <v>519</v>
      </c>
      <c r="D53" s="8" t="s">
        <v>148</v>
      </c>
      <c r="N53" t="s">
        <v>73</v>
      </c>
      <c r="O53">
        <f>420000*1.17</f>
        <v>491399.99999999994</v>
      </c>
    </row>
    <row r="54" spans="2:15" x14ac:dyDescent="0.2">
      <c r="B54" t="s">
        <v>246</v>
      </c>
      <c r="C54" s="18">
        <f>SUM(C51:C52)-C53</f>
        <v>14169</v>
      </c>
      <c r="D54" t="s">
        <v>151</v>
      </c>
      <c r="N54" s="8" t="s">
        <v>76</v>
      </c>
      <c r="O54">
        <f>1.17*350000</f>
        <v>409500</v>
      </c>
    </row>
    <row r="55" spans="2:15" x14ac:dyDescent="0.2">
      <c r="B55" t="s">
        <v>153</v>
      </c>
      <c r="C55" s="1">
        <v>3957</v>
      </c>
      <c r="D55" t="s">
        <v>134</v>
      </c>
      <c r="N55" s="8"/>
    </row>
    <row r="56" spans="2:15" x14ac:dyDescent="0.2">
      <c r="B56" t="s">
        <v>154</v>
      </c>
      <c r="C56" s="18">
        <f>605739+16150</f>
        <v>621889</v>
      </c>
      <c r="D56" t="s">
        <v>134</v>
      </c>
      <c r="N56" s="8"/>
    </row>
    <row r="57" spans="2:15" x14ac:dyDescent="0.2">
      <c r="B57" t="s">
        <v>155</v>
      </c>
      <c r="C57" s="18">
        <f>31619+96</f>
        <v>31715</v>
      </c>
      <c r="D57" t="s">
        <v>134</v>
      </c>
      <c r="N57" s="8" t="s">
        <v>65</v>
      </c>
    </row>
    <row r="58" spans="2:15" x14ac:dyDescent="0.2">
      <c r="C58" s="18"/>
      <c r="N58" s="8" t="s">
        <v>76</v>
      </c>
      <c r="O58">
        <f>225000*1.17</f>
        <v>263250</v>
      </c>
    </row>
    <row r="60" spans="2:15" x14ac:dyDescent="0.2">
      <c r="N60" t="s">
        <v>84</v>
      </c>
    </row>
    <row r="61" spans="2:15" x14ac:dyDescent="0.2">
      <c r="N61" t="s">
        <v>73</v>
      </c>
      <c r="O61">
        <f>2000*1.17</f>
        <v>2340</v>
      </c>
    </row>
    <row r="62" spans="2:15" x14ac:dyDescent="0.2">
      <c r="N62" s="8" t="s">
        <v>83</v>
      </c>
      <c r="O62">
        <f>500*1.17</f>
        <v>585</v>
      </c>
    </row>
    <row r="63" spans="2:15" x14ac:dyDescent="0.2">
      <c r="N63" s="8" t="s">
        <v>85</v>
      </c>
      <c r="O63">
        <f>800*1.17</f>
        <v>936</v>
      </c>
    </row>
    <row r="64" spans="2:15" x14ac:dyDescent="0.2">
      <c r="B64" t="s">
        <v>287</v>
      </c>
      <c r="C64">
        <v>366</v>
      </c>
      <c r="N64" s="8"/>
    </row>
    <row r="65" spans="2:19" x14ac:dyDescent="0.2">
      <c r="N65" s="8"/>
    </row>
    <row r="66" spans="2:19" x14ac:dyDescent="0.2">
      <c r="B66" s="7" t="s">
        <v>286</v>
      </c>
      <c r="C66" s="7" t="s">
        <v>306</v>
      </c>
      <c r="D66" s="27" t="s">
        <v>56</v>
      </c>
      <c r="E66" s="27" t="s">
        <v>302</v>
      </c>
      <c r="F66" s="7" t="s">
        <v>279</v>
      </c>
      <c r="G66" s="7" t="s">
        <v>280</v>
      </c>
      <c r="H66" s="7" t="s">
        <v>277</v>
      </c>
      <c r="I66" s="7" t="s">
        <v>296</v>
      </c>
      <c r="J66" s="7" t="s">
        <v>297</v>
      </c>
      <c r="K66" s="7" t="s">
        <v>298</v>
      </c>
      <c r="L66" s="7" t="s">
        <v>299</v>
      </c>
      <c r="M66" s="7" t="s">
        <v>285</v>
      </c>
      <c r="N66" s="7" t="s">
        <v>283</v>
      </c>
      <c r="O66" s="9" t="s">
        <v>281</v>
      </c>
      <c r="P66" s="7" t="s">
        <v>304</v>
      </c>
      <c r="Q66" s="7" t="s">
        <v>303</v>
      </c>
      <c r="R66" s="9" t="s">
        <v>288</v>
      </c>
      <c r="S66" s="7" t="s">
        <v>289</v>
      </c>
    </row>
    <row r="67" spans="2:19" x14ac:dyDescent="0.2">
      <c r="B67" s="7" t="s">
        <v>295</v>
      </c>
      <c r="C67" s="10" t="s">
        <v>305</v>
      </c>
      <c r="D67" s="1">
        <f>C56</f>
        <v>621889</v>
      </c>
      <c r="E67" s="1" t="s">
        <v>300</v>
      </c>
      <c r="F67" s="1">
        <f>(C46-C57*F71)/C56</f>
        <v>432.33905909510759</v>
      </c>
      <c r="G67" s="1">
        <f>F67/C$30</f>
        <v>332.56850699623658</v>
      </c>
      <c r="H67" s="1">
        <f>F67*C$38/C$33</f>
        <v>4529.8736596914177</v>
      </c>
      <c r="M67">
        <v>6</v>
      </c>
      <c r="N67" s="14">
        <f>C17</f>
        <v>4650</v>
      </c>
      <c r="O67" s="28">
        <f>'Private car charging'!D15*'Vehicle profiles'!C23+('Private car charging'!E15+'Private car charging'!H15)*'Vehicle profiles'!C24+('Private car charging'!F15+'Private car charging'!G15)*'Vehicle profiles'!C25</f>
        <v>3247.824616417096</v>
      </c>
      <c r="P67" s="14">
        <f>PMT(0.06, 12, -(N67+O67))</f>
        <v>942.02905881571064</v>
      </c>
      <c r="Q67" s="14">
        <f>P67/3</f>
        <v>314.00968627190355</v>
      </c>
      <c r="R67">
        <f t="shared" ref="R67:R72" si="0">D67*H67*0.001/8760</f>
        <v>321.58431510865711</v>
      </c>
      <c r="S67">
        <f t="shared" ref="S67:S72" si="1">D67*M67*0.001</f>
        <v>3731.3340000000003</v>
      </c>
    </row>
    <row r="68" spans="2:19" x14ac:dyDescent="0.2">
      <c r="B68" s="7" t="s">
        <v>274</v>
      </c>
      <c r="C68" s="10" t="s">
        <v>305</v>
      </c>
      <c r="D68" s="1">
        <f>0.5*C$53</f>
        <v>259.5</v>
      </c>
      <c r="E68" s="1" t="s">
        <v>301</v>
      </c>
      <c r="F68" s="1">
        <f>C$48/C$53</f>
        <v>10722.716763005781</v>
      </c>
      <c r="G68" s="1">
        <f>F68/C$29</f>
        <v>8248.2436638506006</v>
      </c>
      <c r="H68" s="1">
        <f>F68*C$39/C$31</f>
        <v>89805.26504892057</v>
      </c>
      <c r="I68" s="19">
        <v>6</v>
      </c>
      <c r="J68" s="19">
        <f>I68</f>
        <v>6</v>
      </c>
      <c r="K68" s="19">
        <v>22</v>
      </c>
      <c r="L68" s="19">
        <f>K68</f>
        <v>22</v>
      </c>
      <c r="M68" s="19">
        <f>H68/days_in_reference_year/MOD(K68-I68, 24)</f>
        <v>15.335598539774688</v>
      </c>
      <c r="N68" s="14">
        <f>C19</f>
        <v>401906.00498660933</v>
      </c>
      <c r="O68" s="14">
        <f>C$26</f>
        <v>89109.803804864234</v>
      </c>
      <c r="P68" s="14">
        <f t="shared" ref="P68:P72" si="2">PMT(0.06, 12, -(N68+O68))</f>
        <v>58566.907051590919</v>
      </c>
      <c r="Q68" s="14">
        <f t="shared" ref="Q68:Q72" si="3">P68/3</f>
        <v>19522.302350530306</v>
      </c>
      <c r="R68">
        <f t="shared" si="0"/>
        <v>2.6603272009354892</v>
      </c>
      <c r="S68">
        <f t="shared" si="1"/>
        <v>3.9795878210715316</v>
      </c>
    </row>
    <row r="69" spans="2:19" x14ac:dyDescent="0.2">
      <c r="B69" s="7" t="s">
        <v>275</v>
      </c>
      <c r="C69" s="10" t="s">
        <v>305</v>
      </c>
      <c r="D69" s="1">
        <f>0.5*C$53</f>
        <v>259.5</v>
      </c>
      <c r="E69" s="1" t="s">
        <v>301</v>
      </c>
      <c r="F69" s="1">
        <f>C$48/C$53</f>
        <v>10722.716763005781</v>
      </c>
      <c r="G69" s="1">
        <f>F69/C$29</f>
        <v>8248.2436638506006</v>
      </c>
      <c r="H69" s="1">
        <f>F69*C$39/C$31</f>
        <v>89805.26504892057</v>
      </c>
      <c r="I69" s="19">
        <v>22</v>
      </c>
      <c r="J69" s="19">
        <f>I69</f>
        <v>22</v>
      </c>
      <c r="K69" s="19">
        <v>6</v>
      </c>
      <c r="L69" s="19">
        <f>K69</f>
        <v>6</v>
      </c>
      <c r="M69" s="19">
        <f>H69/days_in_reference_year/5</f>
        <v>49.073915327279003</v>
      </c>
      <c r="N69" s="14">
        <f>N68</f>
        <v>401906.00498660933</v>
      </c>
      <c r="O69" s="14">
        <f>C$26</f>
        <v>89109.803804864234</v>
      </c>
      <c r="P69" s="14">
        <f t="shared" si="2"/>
        <v>58566.907051590919</v>
      </c>
      <c r="Q69" s="14">
        <f t="shared" si="3"/>
        <v>19522.302350530306</v>
      </c>
      <c r="R69">
        <f t="shared" si="0"/>
        <v>2.6603272009354892</v>
      </c>
      <c r="S69">
        <f t="shared" si="1"/>
        <v>12.734681027428902</v>
      </c>
    </row>
    <row r="70" spans="2:19" x14ac:dyDescent="0.2">
      <c r="B70" s="7" t="s">
        <v>276</v>
      </c>
      <c r="C70" s="10" t="s">
        <v>305</v>
      </c>
      <c r="D70" s="1">
        <f>C51-C53</f>
        <v>2880</v>
      </c>
      <c r="E70" s="1" t="s">
        <v>301</v>
      </c>
      <c r="F70" s="1">
        <f>C$49/C$54</f>
        <v>1481.5573879596307</v>
      </c>
      <c r="G70" s="1">
        <f>F70/C$29</f>
        <v>1139.659529199716</v>
      </c>
      <c r="H70" s="1">
        <f>F70*C$39/C$32</f>
        <v>13595.525512917504</v>
      </c>
      <c r="I70" s="19">
        <v>18</v>
      </c>
      <c r="J70" s="19">
        <v>22</v>
      </c>
      <c r="K70" s="19">
        <v>6</v>
      </c>
      <c r="L70" s="19">
        <v>9</v>
      </c>
      <c r="M70">
        <v>6</v>
      </c>
      <c r="N70" s="14">
        <f>C18</f>
        <v>15934.812525224008</v>
      </c>
      <c r="O70" s="28">
        <f>C$24</f>
        <v>4191.1764705882351</v>
      </c>
      <c r="P70" s="14">
        <f t="shared" si="2"/>
        <v>2400.5681807684109</v>
      </c>
      <c r="Q70" s="14">
        <f t="shared" si="3"/>
        <v>800.18939358947034</v>
      </c>
      <c r="R70">
        <f t="shared" si="0"/>
        <v>4.4697618124660288</v>
      </c>
      <c r="S70">
        <f t="shared" si="1"/>
        <v>17.28</v>
      </c>
    </row>
    <row r="71" spans="2:19" x14ac:dyDescent="0.2">
      <c r="B71" s="7" t="s">
        <v>278</v>
      </c>
      <c r="C71" s="10" t="s">
        <v>305</v>
      </c>
      <c r="D71" s="1">
        <f>C57</f>
        <v>31715</v>
      </c>
      <c r="E71" s="1" t="s">
        <v>300</v>
      </c>
      <c r="F71" s="1">
        <f>2*C46/(C56+2*C57)</f>
        <v>864.67811819021517</v>
      </c>
      <c r="G71" s="1">
        <f>F71/C$30</f>
        <v>665.13701399247316</v>
      </c>
      <c r="H71" s="1">
        <f>F71*C$38/C$32</f>
        <v>6954.7490811663229</v>
      </c>
      <c r="I71" s="19">
        <f>I72</f>
        <v>16</v>
      </c>
      <c r="J71" s="19">
        <f>J72</f>
        <v>22</v>
      </c>
      <c r="K71" s="19">
        <f>K72</f>
        <v>5</v>
      </c>
      <c r="L71" s="19">
        <f>L72</f>
        <v>8</v>
      </c>
      <c r="M71">
        <v>6</v>
      </c>
      <c r="N71" s="14">
        <f>C18</f>
        <v>15934.812525224008</v>
      </c>
      <c r="O71" s="28">
        <f>C$24</f>
        <v>4191.1764705882351</v>
      </c>
      <c r="P71" s="14">
        <f t="shared" si="2"/>
        <v>2400.5681807684109</v>
      </c>
      <c r="Q71" s="14">
        <f t="shared" si="3"/>
        <v>800.18939358947034</v>
      </c>
      <c r="R71">
        <f t="shared" si="0"/>
        <v>25.17920857410844</v>
      </c>
      <c r="S71">
        <f t="shared" si="1"/>
        <v>190.29</v>
      </c>
    </row>
    <row r="72" spans="2:19" x14ac:dyDescent="0.2">
      <c r="B72" s="7" t="s">
        <v>282</v>
      </c>
      <c r="C72" s="10" t="s">
        <v>305</v>
      </c>
      <c r="D72" s="1">
        <f>C52</f>
        <v>11289</v>
      </c>
      <c r="E72" s="1" t="s">
        <v>301</v>
      </c>
      <c r="F72" s="1">
        <f>C$49/C$54</f>
        <v>1481.5573879596307</v>
      </c>
      <c r="G72" s="1">
        <f>F72/C$29</f>
        <v>1139.659529199716</v>
      </c>
      <c r="H72" s="1">
        <f>F72*C$39/C$32</f>
        <v>13595.525512917504</v>
      </c>
      <c r="I72" s="19">
        <v>16</v>
      </c>
      <c r="J72" s="19">
        <v>22</v>
      </c>
      <c r="K72" s="19">
        <v>5</v>
      </c>
      <c r="L72" s="19">
        <v>8</v>
      </c>
      <c r="M72">
        <v>6</v>
      </c>
      <c r="N72" s="14">
        <f>C18</f>
        <v>15934.812525224008</v>
      </c>
      <c r="O72" s="28">
        <f>C$24</f>
        <v>4191.1764705882351</v>
      </c>
      <c r="P72" s="14">
        <f t="shared" si="2"/>
        <v>2400.5681807684109</v>
      </c>
      <c r="Q72" s="14">
        <f t="shared" si="3"/>
        <v>800.18939358947034</v>
      </c>
      <c r="R72">
        <f t="shared" si="0"/>
        <v>17.520535104489237</v>
      </c>
      <c r="S72">
        <f t="shared" si="1"/>
        <v>67.733999999999995</v>
      </c>
    </row>
    <row r="74" spans="2:19" x14ac:dyDescent="0.2">
      <c r="B74" s="29" t="s">
        <v>284</v>
      </c>
      <c r="C74" s="30">
        <f>C56-private_ev_fleet_size</f>
        <v>0</v>
      </c>
      <c r="D74" s="30"/>
      <c r="E74" s="30">
        <f>oahu_passenger_vehicles_gals_gas_per_year</f>
        <v>432.33905909510759</v>
      </c>
      <c r="F74" s="30">
        <f>E74/C$30</f>
        <v>332.56850699623658</v>
      </c>
      <c r="G74" s="30">
        <f>E74*C$38/C$33</f>
        <v>4529.8736596914177</v>
      </c>
      <c r="H74" s="31">
        <v>17</v>
      </c>
      <c r="I74" s="31"/>
      <c r="J74" s="31">
        <v>8</v>
      </c>
      <c r="K74" s="31"/>
      <c r="L74" s="32">
        <v>6</v>
      </c>
      <c r="M74" s="33">
        <f>N67</f>
        <v>4650</v>
      </c>
      <c r="N74" s="33">
        <f>A$24</f>
        <v>0</v>
      </c>
      <c r="O74" s="33"/>
      <c r="P74" s="33">
        <f>C$24</f>
        <v>4191.1764705882351</v>
      </c>
      <c r="Q74">
        <f>C74*G74*0.001/8760</f>
        <v>0</v>
      </c>
      <c r="R74">
        <f>C74*L74*0.001</f>
        <v>0</v>
      </c>
    </row>
    <row r="75" spans="2:19" ht="108" customHeight="1" x14ac:dyDescent="0.2">
      <c r="B75" s="36" t="s">
        <v>146</v>
      </c>
      <c r="C75" s="36"/>
      <c r="D75" s="36"/>
      <c r="E75" s="36"/>
      <c r="F75" s="36"/>
      <c r="G75" s="22"/>
      <c r="H75" s="22"/>
      <c r="I75" s="22"/>
      <c r="J75" s="22"/>
      <c r="K75" s="22"/>
    </row>
    <row r="76" spans="2:19" x14ac:dyDescent="0.2">
      <c r="B76" t="s">
        <v>145</v>
      </c>
      <c r="N76" t="s">
        <v>82</v>
      </c>
    </row>
    <row r="77" spans="2:19" x14ac:dyDescent="0.2">
      <c r="N77" t="s">
        <v>73</v>
      </c>
      <c r="O77">
        <v>120</v>
      </c>
    </row>
    <row r="78" spans="2:19" x14ac:dyDescent="0.2">
      <c r="N78" s="8" t="s">
        <v>76</v>
      </c>
      <c r="O78">
        <v>300</v>
      </c>
    </row>
    <row r="80" spans="2:19" x14ac:dyDescent="0.2">
      <c r="C80">
        <v>2020</v>
      </c>
      <c r="D80">
        <v>2045</v>
      </c>
    </row>
    <row r="81" spans="2:15" x14ac:dyDescent="0.2">
      <c r="B81" t="s">
        <v>64</v>
      </c>
      <c r="N81" t="s">
        <v>81</v>
      </c>
    </row>
    <row r="82" spans="2:15" x14ac:dyDescent="0.2">
      <c r="B82" t="s">
        <v>66</v>
      </c>
      <c r="N82" t="s">
        <v>73</v>
      </c>
      <c r="O82">
        <v>60</v>
      </c>
    </row>
    <row r="83" spans="2:15" x14ac:dyDescent="0.2">
      <c r="B83" t="s">
        <v>67</v>
      </c>
    </row>
    <row r="84" spans="2:15" x14ac:dyDescent="0.2">
      <c r="B84" t="s">
        <v>68</v>
      </c>
    </row>
    <row r="87" spans="2:15" x14ac:dyDescent="0.2">
      <c r="N87" t="s">
        <v>75</v>
      </c>
    </row>
    <row r="88" spans="2:15" x14ac:dyDescent="0.2">
      <c r="N88" t="s">
        <v>73</v>
      </c>
      <c r="O88">
        <v>300</v>
      </c>
    </row>
    <row r="89" spans="2:15" x14ac:dyDescent="0.2">
      <c r="B89" t="s">
        <v>69</v>
      </c>
      <c r="N89" t="s">
        <v>76</v>
      </c>
      <c r="O89">
        <v>400</v>
      </c>
    </row>
    <row r="90" spans="2:15" x14ac:dyDescent="0.2">
      <c r="B90" t="s">
        <v>70</v>
      </c>
    </row>
    <row r="91" spans="2:15" x14ac:dyDescent="0.2">
      <c r="N91" t="s">
        <v>79</v>
      </c>
    </row>
    <row r="92" spans="2:15" x14ac:dyDescent="0.2">
      <c r="N92" t="s">
        <v>76</v>
      </c>
      <c r="O92">
        <v>50</v>
      </c>
    </row>
    <row r="96" spans="2:15" x14ac:dyDescent="0.2">
      <c r="N96" t="s">
        <v>77</v>
      </c>
    </row>
    <row r="97" spans="2:15" x14ac:dyDescent="0.2">
      <c r="B97" s="9" t="s">
        <v>194</v>
      </c>
      <c r="D97" t="s">
        <v>191</v>
      </c>
      <c r="E97">
        <f>500000/100.8</f>
        <v>4960.3174603174602</v>
      </c>
      <c r="N97" t="s">
        <v>73</v>
      </c>
      <c r="O97">
        <f>24/17</f>
        <v>1.411764705882353</v>
      </c>
    </row>
    <row r="98" spans="2:15" x14ac:dyDescent="0.2">
      <c r="B98" s="8" t="s">
        <v>190</v>
      </c>
      <c r="C98" s="13">
        <f>AVERAGE(36.48,24,36,24,24,36,36,36.48,36.48,36.48,24,36,24,36,36.48,36.48,36.48)*$E$97*$E$103</f>
        <v>179869.7478991597</v>
      </c>
      <c r="N98" t="s">
        <v>80</v>
      </c>
    </row>
    <row r="99" spans="2:15" x14ac:dyDescent="0.2">
      <c r="B99" s="8" t="s">
        <v>192</v>
      </c>
      <c r="C99" s="13">
        <f>AVERAGE(110.88,84.48,110.88,84.48,84.48,110.88,110.88,110.88,110.88,110.88,84.48,110.88,84.48,110.88,100.8,100.8,110.88)*$E$97*$E$103</f>
        <v>561218.48739495804</v>
      </c>
      <c r="N99" s="8" t="s">
        <v>76</v>
      </c>
      <c r="O99">
        <v>12</v>
      </c>
    </row>
    <row r="100" spans="2:15" x14ac:dyDescent="0.2">
      <c r="B100" t="s">
        <v>195</v>
      </c>
      <c r="C100" s="16">
        <f>C98+C99-C153</f>
        <v>388581.8240867253</v>
      </c>
    </row>
    <row r="101" spans="2:15" x14ac:dyDescent="0.2">
      <c r="B101" t="s">
        <v>193</v>
      </c>
      <c r="C101" s="20">
        <f>AVERAGE(9.6,6.24,18.24,11.04,11.52,26.88,9.6,16.8,10.08,5.76,20.64,12.48,20.64,8.16,13.44,13.44,8.64)*$E$97*$E$103</f>
        <v>72289.915966386558</v>
      </c>
    </row>
    <row r="103" spans="2:15" x14ac:dyDescent="0.2">
      <c r="D103" t="s">
        <v>182</v>
      </c>
      <c r="E103">
        <v>1.1100000000000001</v>
      </c>
    </row>
    <row r="104" spans="2:15" x14ac:dyDescent="0.2">
      <c r="B104" s="7" t="s">
        <v>96</v>
      </c>
      <c r="D104" t="s">
        <v>181</v>
      </c>
      <c r="E104">
        <f>1/78.243</f>
        <v>1.278069603670616E-2</v>
      </c>
    </row>
    <row r="105" spans="2:15" x14ac:dyDescent="0.2">
      <c r="C105" t="s">
        <v>87</v>
      </c>
    </row>
    <row r="106" spans="2:15" x14ac:dyDescent="0.2">
      <c r="B106" t="s">
        <v>178</v>
      </c>
      <c r="C106" t="s">
        <v>86</v>
      </c>
      <c r="D106" t="s">
        <v>88</v>
      </c>
      <c r="E106" t="s">
        <v>89</v>
      </c>
      <c r="F106" t="s">
        <v>90</v>
      </c>
    </row>
    <row r="107" spans="2:15" x14ac:dyDescent="0.2">
      <c r="B107" s="8" t="s">
        <v>91</v>
      </c>
      <c r="C107">
        <v>31.32</v>
      </c>
      <c r="D107">
        <v>52.012</v>
      </c>
      <c r="E107">
        <v>68.555999999999997</v>
      </c>
      <c r="F107">
        <v>53.292000000000002</v>
      </c>
    </row>
    <row r="108" spans="2:15" x14ac:dyDescent="0.2">
      <c r="B108" t="s">
        <v>92</v>
      </c>
      <c r="C108">
        <v>24.016999999999999</v>
      </c>
      <c r="D108">
        <v>42.225000000000001</v>
      </c>
      <c r="E108">
        <v>56.765000000000001</v>
      </c>
      <c r="F108">
        <v>43.259</v>
      </c>
    </row>
    <row r="109" spans="2:15" x14ac:dyDescent="0.2">
      <c r="B109" t="s">
        <v>93</v>
      </c>
      <c r="C109">
        <v>24.015999999999998</v>
      </c>
      <c r="D109">
        <v>42.220999999999997</v>
      </c>
      <c r="E109">
        <v>56.762999999999998</v>
      </c>
      <c r="F109">
        <v>43.261000000000003</v>
      </c>
    </row>
    <row r="110" spans="2:15" x14ac:dyDescent="0.2">
      <c r="B110" t="s">
        <v>94</v>
      </c>
      <c r="C110">
        <v>13.05</v>
      </c>
      <c r="D110">
        <v>22.948</v>
      </c>
      <c r="E110">
        <v>30.850999999999999</v>
      </c>
      <c r="F110">
        <v>23.51</v>
      </c>
    </row>
    <row r="112" spans="2:15" x14ac:dyDescent="0.2">
      <c r="B112" t="s">
        <v>179</v>
      </c>
      <c r="C112" t="s">
        <v>86</v>
      </c>
      <c r="D112" t="s">
        <v>88</v>
      </c>
      <c r="E112" t="s">
        <v>89</v>
      </c>
      <c r="F112" t="s">
        <v>90</v>
      </c>
    </row>
    <row r="113" spans="2:11" x14ac:dyDescent="0.2">
      <c r="B113" s="8" t="s">
        <v>91</v>
      </c>
      <c r="C113">
        <v>8.1039999999999992</v>
      </c>
      <c r="D113">
        <v>11.881</v>
      </c>
      <c r="E113">
        <v>14.903</v>
      </c>
      <c r="F113">
        <v>12.509</v>
      </c>
    </row>
    <row r="114" spans="2:11" x14ac:dyDescent="0.2">
      <c r="B114" t="s">
        <v>92</v>
      </c>
      <c r="C114">
        <v>3.3519999999999999</v>
      </c>
      <c r="D114">
        <v>4.8609999999999998</v>
      </c>
      <c r="E114">
        <v>6.53</v>
      </c>
      <c r="F114">
        <v>5.3170000000000002</v>
      </c>
    </row>
    <row r="115" spans="2:11" x14ac:dyDescent="0.2">
      <c r="B115" t="s">
        <v>93</v>
      </c>
      <c r="C115">
        <v>3.355</v>
      </c>
      <c r="D115">
        <v>4.8540000000000001</v>
      </c>
      <c r="E115">
        <v>6.53</v>
      </c>
      <c r="F115">
        <v>4.9749999999999996</v>
      </c>
    </row>
    <row r="116" spans="2:11" x14ac:dyDescent="0.2">
      <c r="B116" t="s">
        <v>94</v>
      </c>
      <c r="C116">
        <v>0</v>
      </c>
      <c r="D116">
        <v>0</v>
      </c>
      <c r="E116">
        <v>0</v>
      </c>
      <c r="F116">
        <v>0</v>
      </c>
    </row>
    <row r="118" spans="2:11" x14ac:dyDescent="0.2">
      <c r="B118" t="s">
        <v>180</v>
      </c>
      <c r="C118" t="s">
        <v>86</v>
      </c>
      <c r="D118" t="s">
        <v>88</v>
      </c>
      <c r="E118" t="s">
        <v>89</v>
      </c>
      <c r="F118" t="s">
        <v>90</v>
      </c>
    </row>
    <row r="119" spans="2:11" x14ac:dyDescent="0.2">
      <c r="B119" s="8" t="s">
        <v>91</v>
      </c>
      <c r="C119">
        <v>0.83299999999999996</v>
      </c>
      <c r="D119">
        <v>1.464</v>
      </c>
      <c r="E119">
        <v>1.968</v>
      </c>
      <c r="F119">
        <v>1.5</v>
      </c>
    </row>
    <row r="120" spans="2:11" x14ac:dyDescent="0.2">
      <c r="B120" t="s">
        <v>92</v>
      </c>
      <c r="C120">
        <v>12.808</v>
      </c>
      <c r="D120">
        <v>15.683</v>
      </c>
      <c r="E120">
        <v>16.398</v>
      </c>
      <c r="F120">
        <v>14.336</v>
      </c>
    </row>
    <row r="121" spans="2:11" x14ac:dyDescent="0.2">
      <c r="B121" t="s">
        <v>93</v>
      </c>
      <c r="C121">
        <v>1.6</v>
      </c>
      <c r="D121">
        <v>5.2279999999999998</v>
      </c>
      <c r="E121">
        <v>5.4660000000000002</v>
      </c>
      <c r="F121">
        <v>2.206</v>
      </c>
    </row>
    <row r="122" spans="2:11" x14ac:dyDescent="0.2">
      <c r="B122" t="s">
        <v>94</v>
      </c>
      <c r="C122">
        <v>0</v>
      </c>
      <c r="D122">
        <v>0</v>
      </c>
      <c r="E122">
        <v>0</v>
      </c>
      <c r="F122">
        <v>0</v>
      </c>
    </row>
    <row r="124" spans="2:11" x14ac:dyDescent="0.2">
      <c r="B124" t="s">
        <v>97</v>
      </c>
      <c r="C124">
        <v>344</v>
      </c>
      <c r="D124">
        <v>253</v>
      </c>
      <c r="E124">
        <v>254</v>
      </c>
      <c r="F124">
        <v>194</v>
      </c>
    </row>
    <row r="126" spans="2:11" x14ac:dyDescent="0.2">
      <c r="B126" t="s">
        <v>185</v>
      </c>
    </row>
    <row r="127" spans="2:11" x14ac:dyDescent="0.2">
      <c r="B127" t="str">
        <f>B107</f>
        <v>overnight charging</v>
      </c>
      <c r="C127" s="13">
        <f t="shared" ref="C127:F130" si="4">12*365*$E$103*$E$104*C107*C$124</f>
        <v>669471.03439285303</v>
      </c>
      <c r="D127" s="13">
        <f t="shared" si="4"/>
        <v>817665.49371573189</v>
      </c>
      <c r="E127" s="13">
        <f t="shared" si="4"/>
        <v>1082008.7732218856</v>
      </c>
      <c r="F127" s="13">
        <f t="shared" si="4"/>
        <v>642414.51435144362</v>
      </c>
      <c r="G127" s="13"/>
      <c r="H127" s="13"/>
      <c r="I127" s="13"/>
      <c r="J127" s="13"/>
      <c r="K127" s="13"/>
    </row>
    <row r="128" spans="2:11" x14ac:dyDescent="0.2">
      <c r="B128" t="str">
        <f t="shared" ref="B128:B130" si="5">B108</f>
        <v>opportunity charging</v>
      </c>
      <c r="C128" s="13">
        <f t="shared" si="4"/>
        <v>513368.00233119901</v>
      </c>
      <c r="D128" s="13">
        <f t="shared" si="4"/>
        <v>663806.91902150994</v>
      </c>
      <c r="E128" s="13">
        <f t="shared" si="4"/>
        <v>895913.23898623523</v>
      </c>
      <c r="F128" s="13">
        <f t="shared" si="4"/>
        <v>521470.56737088307</v>
      </c>
      <c r="G128" s="13"/>
      <c r="H128" s="13"/>
      <c r="I128" s="13"/>
      <c r="J128" s="13"/>
      <c r="K128" s="13"/>
    </row>
    <row r="129" spans="2:11" x14ac:dyDescent="0.2">
      <c r="B129" t="str">
        <f t="shared" si="5"/>
        <v>end station charging</v>
      </c>
      <c r="C129" s="13">
        <f t="shared" si="4"/>
        <v>513346.62713853002</v>
      </c>
      <c r="D129" s="13">
        <f t="shared" si="4"/>
        <v>663744.03618726274</v>
      </c>
      <c r="E129" s="13">
        <f t="shared" si="4"/>
        <v>895881.67329473561</v>
      </c>
      <c r="F129" s="13">
        <f t="shared" si="4"/>
        <v>521494.6765998237</v>
      </c>
      <c r="G129" s="13"/>
      <c r="H129" s="13"/>
      <c r="I129" s="13"/>
      <c r="J129" s="13"/>
      <c r="K129" s="13"/>
    </row>
    <row r="130" spans="2:11" x14ac:dyDescent="0.2">
      <c r="B130" t="str">
        <f t="shared" si="5"/>
        <v>diesel</v>
      </c>
      <c r="C130" s="13">
        <f t="shared" si="4"/>
        <v>278946.26433035545</v>
      </c>
      <c r="D130" s="13">
        <f t="shared" si="4"/>
        <v>360758.82007591735</v>
      </c>
      <c r="E130" s="13">
        <f t="shared" si="4"/>
        <v>486916.57422644843</v>
      </c>
      <c r="F130" s="13">
        <f t="shared" si="4"/>
        <v>283403.98619684833</v>
      </c>
      <c r="G130" s="13"/>
      <c r="H130" s="13"/>
      <c r="I130" s="13"/>
      <c r="J130" s="13"/>
      <c r="K130" s="13"/>
    </row>
    <row r="132" spans="2:11" x14ac:dyDescent="0.2">
      <c r="B132" t="s">
        <v>183</v>
      </c>
    </row>
    <row r="133" spans="2:11" x14ac:dyDescent="0.2">
      <c r="B133" t="str">
        <f>B113</f>
        <v>overnight charging</v>
      </c>
      <c r="C133" s="13">
        <f t="shared" ref="C133:F136" si="6">12*365*$E$103*$E$104*C113*C$124</f>
        <v>173224.56138951727</v>
      </c>
      <c r="D133" s="13">
        <f t="shared" si="6"/>
        <v>186777.73842260652</v>
      </c>
      <c r="E133" s="13">
        <f t="shared" si="6"/>
        <v>235211.7502089644</v>
      </c>
      <c r="F133" s="13">
        <f t="shared" si="6"/>
        <v>150791.1724090334</v>
      </c>
      <c r="G133" s="13"/>
      <c r="H133" s="13"/>
      <c r="I133" s="13"/>
      <c r="J133" s="13"/>
      <c r="K133" s="13"/>
    </row>
    <row r="134" spans="2:11" x14ac:dyDescent="0.2">
      <c r="B134" t="str">
        <f t="shared" ref="B134:B136" si="7">B114</f>
        <v>opportunity charging</v>
      </c>
      <c r="C134" s="13">
        <f t="shared" si="6"/>
        <v>71649.645826463719</v>
      </c>
      <c r="D134" s="13">
        <f t="shared" si="6"/>
        <v>76418.364318852808</v>
      </c>
      <c r="E134" s="13">
        <f t="shared" si="6"/>
        <v>103061.98274606036</v>
      </c>
      <c r="F134" s="13">
        <f t="shared" si="6"/>
        <v>64094.385138606653</v>
      </c>
      <c r="G134" s="13"/>
      <c r="H134" s="13"/>
      <c r="I134" s="13"/>
      <c r="J134" s="13"/>
      <c r="K134" s="13"/>
    </row>
    <row r="135" spans="2:11" x14ac:dyDescent="0.2">
      <c r="B135" t="str">
        <f t="shared" si="7"/>
        <v>end station charging</v>
      </c>
      <c r="C135" s="13">
        <f t="shared" si="6"/>
        <v>71713.771404470695</v>
      </c>
      <c r="D135" s="13">
        <f t="shared" si="6"/>
        <v>76308.3193589203</v>
      </c>
      <c r="E135" s="13">
        <f t="shared" si="6"/>
        <v>103061.98274606036</v>
      </c>
      <c r="F135" s="13">
        <f t="shared" si="6"/>
        <v>59971.706989762664</v>
      </c>
      <c r="G135" s="13"/>
      <c r="H135" s="13"/>
      <c r="I135" s="13"/>
      <c r="J135" s="13"/>
      <c r="K135" s="13"/>
    </row>
    <row r="136" spans="2:11" x14ac:dyDescent="0.2">
      <c r="B136" t="str">
        <f t="shared" si="7"/>
        <v>diesel</v>
      </c>
      <c r="C136" s="13">
        <f t="shared" si="6"/>
        <v>0</v>
      </c>
      <c r="D136" s="13">
        <f t="shared" si="6"/>
        <v>0</v>
      </c>
      <c r="E136" s="13">
        <f t="shared" si="6"/>
        <v>0</v>
      </c>
      <c r="F136" s="13">
        <f t="shared" si="6"/>
        <v>0</v>
      </c>
      <c r="G136" s="13"/>
      <c r="H136" s="13"/>
      <c r="I136" s="13"/>
      <c r="J136" s="13"/>
      <c r="K136" s="13"/>
    </row>
    <row r="138" spans="2:11" x14ac:dyDescent="0.2">
      <c r="B138" t="s">
        <v>184</v>
      </c>
    </row>
    <row r="139" spans="2:11" x14ac:dyDescent="0.2">
      <c r="B139" t="str">
        <f>B119</f>
        <v>overnight charging</v>
      </c>
      <c r="C139" s="13">
        <f t="shared" ref="C139:F142" si="8">12*365*$E$103*$E$104*C119*C$124</f>
        <v>17805.535493270963</v>
      </c>
      <c r="D139" s="13">
        <f t="shared" si="8"/>
        <v>23015.117334458038</v>
      </c>
      <c r="E139" s="13">
        <f t="shared" si="8"/>
        <v>31060.640435566125</v>
      </c>
      <c r="F139" s="13">
        <f t="shared" si="8"/>
        <v>18081.921705456083</v>
      </c>
      <c r="G139" s="13"/>
      <c r="H139" s="13"/>
      <c r="I139" s="13"/>
      <c r="J139" s="13"/>
      <c r="K139" s="13"/>
    </row>
    <row r="140" spans="2:11" x14ac:dyDescent="0.2">
      <c r="B140" t="str">
        <f t="shared" ref="B140:B142" si="9">B120</f>
        <v>opportunity charging</v>
      </c>
      <c r="C140" s="13">
        <f t="shared" si="8"/>
        <v>273773.46770445921</v>
      </c>
      <c r="D140" s="13">
        <f t="shared" si="8"/>
        <v>246547.87237452553</v>
      </c>
      <c r="E140" s="13">
        <f t="shared" si="8"/>
        <v>258807.10460488481</v>
      </c>
      <c r="F140" s="13">
        <f t="shared" si="8"/>
        <v>172814.95304627891</v>
      </c>
      <c r="G140" s="13"/>
      <c r="H140" s="13"/>
      <c r="I140" s="13"/>
      <c r="J140" s="13"/>
      <c r="K140" s="13"/>
    </row>
    <row r="141" spans="2:11" x14ac:dyDescent="0.2">
      <c r="B141" t="str">
        <f t="shared" si="9"/>
        <v>end station charging</v>
      </c>
      <c r="C141" s="13">
        <f t="shared" si="8"/>
        <v>34200.308270388407</v>
      </c>
      <c r="D141" s="13">
        <f t="shared" si="8"/>
        <v>82187.864361029104</v>
      </c>
      <c r="E141" s="13">
        <f t="shared" si="8"/>
        <v>86269.034868294941</v>
      </c>
      <c r="F141" s="13">
        <f t="shared" si="8"/>
        <v>26592.479521490743</v>
      </c>
      <c r="G141" s="13"/>
      <c r="H141" s="13"/>
      <c r="I141" s="13"/>
      <c r="J141" s="13"/>
      <c r="K141" s="13"/>
    </row>
    <row r="142" spans="2:11" x14ac:dyDescent="0.2">
      <c r="B142" t="str">
        <f t="shared" si="9"/>
        <v>diesel</v>
      </c>
      <c r="C142" s="13">
        <f t="shared" si="8"/>
        <v>0</v>
      </c>
      <c r="D142" s="13">
        <f t="shared" si="8"/>
        <v>0</v>
      </c>
      <c r="E142" s="13">
        <f t="shared" si="8"/>
        <v>0</v>
      </c>
      <c r="F142" s="13">
        <f t="shared" si="8"/>
        <v>0</v>
      </c>
      <c r="G142" s="13"/>
      <c r="H142" s="13"/>
      <c r="I142" s="13"/>
      <c r="J142" s="13"/>
      <c r="K142" s="13"/>
    </row>
    <row r="145" spans="2:11" x14ac:dyDescent="0.2">
      <c r="B145" t="s">
        <v>111</v>
      </c>
    </row>
    <row r="146" spans="2:11" x14ac:dyDescent="0.2">
      <c r="B146" t="e">
        <f>#REF!</f>
        <v>#REF!</v>
      </c>
      <c r="C146" s="13">
        <f t="shared" ref="C146:F149" si="10">C127*C$124*1.17*365</f>
        <v>98348776201.68895</v>
      </c>
      <c r="D146" s="13">
        <f t="shared" si="10"/>
        <v>88343564420.099731</v>
      </c>
      <c r="E146" s="13">
        <f t="shared" si="10"/>
        <v>117366249037.51918</v>
      </c>
      <c r="F146" s="13">
        <f t="shared" si="10"/>
        <v>53222564960.634094</v>
      </c>
      <c r="G146" s="13"/>
      <c r="H146" s="13"/>
      <c r="I146" s="13"/>
      <c r="J146" s="13"/>
      <c r="K146" s="13"/>
    </row>
    <row r="147" spans="2:11" x14ac:dyDescent="0.2">
      <c r="B147" t="e">
        <f>#REF!</f>
        <v>#REF!</v>
      </c>
      <c r="C147" s="13">
        <f t="shared" si="10"/>
        <v>75416429056.065247</v>
      </c>
      <c r="D147" s="13">
        <f t="shared" si="10"/>
        <v>71720122426.338364</v>
      </c>
      <c r="E147" s="13">
        <f t="shared" si="10"/>
        <v>97180336172.104218</v>
      </c>
      <c r="F147" s="13">
        <f t="shared" si="10"/>
        <v>43202637124.372704</v>
      </c>
      <c r="G147" s="13"/>
      <c r="H147" s="13"/>
      <c r="I147" s="13"/>
      <c r="J147" s="13"/>
      <c r="K147" s="13"/>
    </row>
    <row r="148" spans="2:11" x14ac:dyDescent="0.2">
      <c r="B148" t="e">
        <f>#REF!</f>
        <v>#REF!</v>
      </c>
      <c r="C148" s="13">
        <f t="shared" si="10"/>
        <v>75413288929.111176</v>
      </c>
      <c r="D148" s="13">
        <f t="shared" si="10"/>
        <v>71713328335.403946</v>
      </c>
      <c r="E148" s="13">
        <f t="shared" si="10"/>
        <v>97176912219.451263</v>
      </c>
      <c r="F148" s="13">
        <f t="shared" si="10"/>
        <v>43204634518.539207</v>
      </c>
      <c r="G148" s="13"/>
      <c r="H148" s="13"/>
      <c r="I148" s="13"/>
      <c r="J148" s="13"/>
      <c r="K148" s="13"/>
    </row>
    <row r="149" spans="2:11" x14ac:dyDescent="0.2">
      <c r="B149" t="e">
        <f>#REF!</f>
        <v>#REF!</v>
      </c>
      <c r="C149" s="13">
        <f t="shared" si="10"/>
        <v>40978656750.703728</v>
      </c>
      <c r="D149" s="13">
        <f t="shared" si="10"/>
        <v>38977699690.695381</v>
      </c>
      <c r="E149" s="13">
        <f t="shared" si="10"/>
        <v>52816181647.944824</v>
      </c>
      <c r="F149" s="13">
        <f t="shared" si="10"/>
        <v>23479368427.240631</v>
      </c>
      <c r="G149" s="13"/>
      <c r="H149" s="13"/>
      <c r="I149" s="13"/>
      <c r="J149" s="13"/>
      <c r="K149" s="13"/>
    </row>
    <row r="151" spans="2:11" x14ac:dyDescent="0.2">
      <c r="B151" t="s">
        <v>186</v>
      </c>
      <c r="C151" s="14">
        <f>AVERAGE(C127:F129)</f>
        <v>700048.79638434108</v>
      </c>
      <c r="D151" t="s">
        <v>95</v>
      </c>
    </row>
    <row r="152" spans="2:11" x14ac:dyDescent="0.2">
      <c r="B152" t="s">
        <v>187</v>
      </c>
      <c r="C152" s="14">
        <f>1.06^-9*AVERAGE(C133:F135)</f>
        <v>67687.800709544666</v>
      </c>
    </row>
    <row r="153" spans="2:11" x14ac:dyDescent="0.2">
      <c r="B153" t="s">
        <v>65</v>
      </c>
      <c r="C153" s="14">
        <f>AVERAGE(C130:F130)</f>
        <v>352506.4112073924</v>
      </c>
    </row>
    <row r="154" spans="2:11" x14ac:dyDescent="0.2">
      <c r="B154" t="s">
        <v>188</v>
      </c>
      <c r="C154" s="16">
        <f>C151+C152-C153</f>
        <v>415230.18588649336</v>
      </c>
    </row>
    <row r="155" spans="2:11" x14ac:dyDescent="0.2">
      <c r="B155" t="s">
        <v>189</v>
      </c>
      <c r="C155" s="16">
        <f>AVERAGE(C139:F141)</f>
        <v>105929.6916433419</v>
      </c>
      <c r="D155" s="15"/>
    </row>
    <row r="157" spans="2:11" x14ac:dyDescent="0.2">
      <c r="B157" s="7" t="s">
        <v>115</v>
      </c>
    </row>
    <row r="158" spans="2:11" x14ac:dyDescent="0.2">
      <c r="B158" t="s">
        <v>174</v>
      </c>
      <c r="C158" s="14">
        <f>904490</f>
        <v>904490</v>
      </c>
      <c r="D158" t="s">
        <v>175</v>
      </c>
    </row>
    <row r="159" spans="2:11" x14ac:dyDescent="0.2">
      <c r="B159" t="s">
        <v>173</v>
      </c>
      <c r="C159" s="14">
        <v>575000</v>
      </c>
    </row>
    <row r="160" spans="2:11" x14ac:dyDescent="0.2">
      <c r="B160" t="s">
        <v>177</v>
      </c>
      <c r="C160" s="16">
        <f>C158-C159</f>
        <v>329490</v>
      </c>
    </row>
    <row r="161" spans="2:14" x14ac:dyDescent="0.2">
      <c r="B161" t="s">
        <v>113</v>
      </c>
      <c r="C161" s="14">
        <f>PMT(0.06, 12, -C160)</f>
        <v>39300.588410634875</v>
      </c>
    </row>
    <row r="162" spans="2:14" x14ac:dyDescent="0.2">
      <c r="B162" t="s">
        <v>112</v>
      </c>
      <c r="C162" s="14">
        <v>10000</v>
      </c>
    </row>
    <row r="163" spans="2:14" x14ac:dyDescent="0.2">
      <c r="B163" t="s">
        <v>114</v>
      </c>
      <c r="C163" s="14">
        <f>C161+C162</f>
        <v>49300.588410634875</v>
      </c>
    </row>
    <row r="164" spans="2:14" x14ac:dyDescent="0.2">
      <c r="C164" s="15"/>
    </row>
    <row r="165" spans="2:14" x14ac:dyDescent="0.2">
      <c r="B165" s="7" t="s">
        <v>131</v>
      </c>
    </row>
    <row r="166" spans="2:14" x14ac:dyDescent="0.2">
      <c r="B166" t="s">
        <v>98</v>
      </c>
    </row>
    <row r="167" spans="2:14" x14ac:dyDescent="0.2">
      <c r="B167" t="s">
        <v>99</v>
      </c>
    </row>
    <row r="168" spans="2:14" x14ac:dyDescent="0.2">
      <c r="B168" t="s">
        <v>100</v>
      </c>
    </row>
    <row r="169" spans="2:14" x14ac:dyDescent="0.2">
      <c r="B169" t="s">
        <v>101</v>
      </c>
    </row>
    <row r="171" spans="2:14" x14ac:dyDescent="0.2">
      <c r="B171" t="s">
        <v>102</v>
      </c>
    </row>
    <row r="172" spans="2:14" x14ac:dyDescent="0.2">
      <c r="B172" t="s">
        <v>103</v>
      </c>
      <c r="C172" t="s">
        <v>110</v>
      </c>
    </row>
    <row r="174" spans="2:14" x14ac:dyDescent="0.2">
      <c r="B174" t="s">
        <v>104</v>
      </c>
    </row>
    <row r="176" spans="2:14" ht="46" customHeight="1" x14ac:dyDescent="0.2">
      <c r="B176" s="23" t="s">
        <v>105</v>
      </c>
      <c r="C176" s="23"/>
      <c r="D176" s="23"/>
      <c r="E176" s="23"/>
      <c r="F176" s="23"/>
      <c r="G176" s="23"/>
      <c r="H176" s="23"/>
      <c r="I176" s="23"/>
      <c r="J176" s="23"/>
      <c r="K176" s="23"/>
      <c r="L176" s="23"/>
      <c r="M176" s="23"/>
      <c r="N176" s="23"/>
    </row>
    <row r="178" spans="2:14" ht="52" customHeight="1" x14ac:dyDescent="0.2">
      <c r="B178" s="23" t="s">
        <v>106</v>
      </c>
      <c r="C178" s="23"/>
      <c r="D178" s="23"/>
      <c r="E178" s="23"/>
      <c r="F178" s="23"/>
      <c r="G178" s="23"/>
      <c r="H178" s="23"/>
      <c r="I178" s="23"/>
      <c r="J178" s="23"/>
      <c r="K178" s="23"/>
      <c r="L178" s="23"/>
      <c r="M178" s="23"/>
      <c r="N178" s="23"/>
    </row>
    <row r="180" spans="2:14" ht="39" customHeight="1" x14ac:dyDescent="0.2">
      <c r="B180" s="23" t="s">
        <v>107</v>
      </c>
      <c r="C180" s="23"/>
      <c r="D180" s="23"/>
      <c r="E180" s="23"/>
      <c r="F180" s="23"/>
      <c r="G180" s="23"/>
      <c r="H180" s="23"/>
      <c r="I180" s="23"/>
      <c r="J180" s="23"/>
      <c r="K180" s="23"/>
      <c r="L180" s="23"/>
      <c r="M180" s="23"/>
      <c r="N180" s="23"/>
    </row>
    <row r="182" spans="2:14" x14ac:dyDescent="0.2">
      <c r="B182" t="s">
        <v>108</v>
      </c>
    </row>
    <row r="184" spans="2:14" x14ac:dyDescent="0.2">
      <c r="B184" t="s">
        <v>109</v>
      </c>
    </row>
    <row r="186" spans="2:14" x14ac:dyDescent="0.2">
      <c r="B186" t="s">
        <v>116</v>
      </c>
    </row>
    <row r="188" spans="2:14" x14ac:dyDescent="0.2">
      <c r="B188" s="7" t="s">
        <v>119</v>
      </c>
    </row>
    <row r="189" spans="2:14" x14ac:dyDescent="0.2">
      <c r="B189" t="s">
        <v>120</v>
      </c>
    </row>
    <row r="191" spans="2:14" x14ac:dyDescent="0.2">
      <c r="B191" s="7" t="s">
        <v>126</v>
      </c>
    </row>
    <row r="192" spans="2:14" x14ac:dyDescent="0.2">
      <c r="B192" t="s">
        <v>127</v>
      </c>
    </row>
    <row r="193" spans="2:2" x14ac:dyDescent="0.2">
      <c r="B193" t="s">
        <v>128</v>
      </c>
    </row>
    <row r="194" spans="2:2" x14ac:dyDescent="0.2">
      <c r="B194" t="s">
        <v>129</v>
      </c>
    </row>
    <row r="195" spans="2:2" x14ac:dyDescent="0.2">
      <c r="B195" t="s">
        <v>130</v>
      </c>
    </row>
    <row r="197" spans="2:2" x14ac:dyDescent="0.2">
      <c r="B197" s="7" t="s">
        <v>142</v>
      </c>
    </row>
    <row r="198" spans="2:2" x14ac:dyDescent="0.2">
      <c r="B198" t="s">
        <v>143</v>
      </c>
    </row>
    <row r="199" spans="2:2" x14ac:dyDescent="0.2">
      <c r="B199" t="s">
        <v>144</v>
      </c>
    </row>
  </sheetData>
  <mergeCells count="1">
    <mergeCell ref="B75:F75"/>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29"/>
  <sheetViews>
    <sheetView workbookViewId="0"/>
  </sheetViews>
  <sheetFormatPr baseColWidth="10" defaultRowHeight="16" x14ac:dyDescent="0.2"/>
  <cols>
    <col min="2" max="2" width="40.33203125" customWidth="1"/>
    <col min="3" max="3" width="11.5" bestFit="1" customWidth="1"/>
  </cols>
  <sheetData>
    <row r="1" spans="2:8" x14ac:dyDescent="0.2">
      <c r="B1" t="s">
        <v>247</v>
      </c>
    </row>
    <row r="2" spans="2:8" x14ac:dyDescent="0.2">
      <c r="B2" t="s">
        <v>248</v>
      </c>
    </row>
    <row r="3" spans="2:8" x14ac:dyDescent="0.2">
      <c r="B3" t="s">
        <v>249</v>
      </c>
    </row>
    <row r="4" spans="2:8" x14ac:dyDescent="0.2">
      <c r="B4" t="s">
        <v>250</v>
      </c>
    </row>
    <row r="5" spans="2:8" x14ac:dyDescent="0.2">
      <c r="B5" t="s">
        <v>251</v>
      </c>
    </row>
    <row r="7" spans="2:8" x14ac:dyDescent="0.2">
      <c r="B7" t="s">
        <v>254</v>
      </c>
      <c r="D7" t="s">
        <v>262</v>
      </c>
    </row>
    <row r="8" spans="2:8" x14ac:dyDescent="0.2">
      <c r="C8" t="s">
        <v>261</v>
      </c>
      <c r="D8" t="s">
        <v>263</v>
      </c>
      <c r="E8" t="s">
        <v>266</v>
      </c>
      <c r="F8" t="s">
        <v>265</v>
      </c>
      <c r="G8" t="s">
        <v>269</v>
      </c>
      <c r="H8" t="s">
        <v>264</v>
      </c>
    </row>
    <row r="9" spans="2:8" x14ac:dyDescent="0.2">
      <c r="B9" t="s">
        <v>259</v>
      </c>
      <c r="C9" s="25">
        <v>245063</v>
      </c>
      <c r="D9" s="24">
        <v>0.8</v>
      </c>
      <c r="H9" s="24">
        <f t="shared" ref="H9:H11" si="0">100%-SUM(D9:G9)</f>
        <v>0.19999999999999996</v>
      </c>
    </row>
    <row r="10" spans="2:8" x14ac:dyDescent="0.2">
      <c r="B10" t="s">
        <v>260</v>
      </c>
      <c r="C10" s="25">
        <f>334012-C9</f>
        <v>88949</v>
      </c>
      <c r="D10" s="24">
        <v>0.3</v>
      </c>
      <c r="E10" s="24"/>
      <c r="F10" s="24">
        <v>0.35</v>
      </c>
      <c r="G10" s="24"/>
      <c r="H10" s="24">
        <f t="shared" si="0"/>
        <v>0.35000000000000009</v>
      </c>
    </row>
    <row r="11" spans="2:8" x14ac:dyDescent="0.2">
      <c r="B11" t="s">
        <v>253</v>
      </c>
      <c r="C11" s="25">
        <v>143407</v>
      </c>
      <c r="E11" s="24">
        <v>0.8</v>
      </c>
      <c r="H11" s="24">
        <f t="shared" si="0"/>
        <v>0.19999999999999996</v>
      </c>
    </row>
    <row r="12" spans="2:8" x14ac:dyDescent="0.2">
      <c r="B12" t="s">
        <v>252</v>
      </c>
      <c r="C12" s="25">
        <f>227961-C11</f>
        <v>84554</v>
      </c>
      <c r="E12" s="24"/>
      <c r="F12" s="24"/>
      <c r="G12" s="24">
        <v>0.65</v>
      </c>
      <c r="H12" s="24">
        <f>100%-SUM(D12:G12)</f>
        <v>0.35</v>
      </c>
    </row>
    <row r="14" spans="2:8" x14ac:dyDescent="0.2">
      <c r="B14" t="s">
        <v>267</v>
      </c>
      <c r="D14" s="25">
        <f>SUMPRODUCT($C$9:$C$12, D9:D12)</f>
        <v>222735.10000000003</v>
      </c>
      <c r="E14" s="25">
        <f t="shared" ref="E14:H14" si="1">SUMPRODUCT($C$9:$C$12, E9:E12)</f>
        <v>114725.6</v>
      </c>
      <c r="F14" s="25">
        <f t="shared" si="1"/>
        <v>31132.149999999998</v>
      </c>
      <c r="G14" s="25">
        <f t="shared" ref="G14" si="2">SUMPRODUCT($C$9:$C$12, G9:G12)</f>
        <v>54960.1</v>
      </c>
      <c r="H14" s="25">
        <f t="shared" si="1"/>
        <v>138420.04999999999</v>
      </c>
    </row>
    <row r="15" spans="2:8" x14ac:dyDescent="0.2">
      <c r="B15" t="s">
        <v>268</v>
      </c>
      <c r="D15" s="26">
        <f>D14/SUM($D14:$H14)</f>
        <v>0.39634484218992733</v>
      </c>
      <c r="E15" s="26">
        <f>E14/SUM($D14:$H14)</f>
        <v>0.20414788610840737</v>
      </c>
      <c r="F15" s="26">
        <f>F14/SUM($D14:$H14)</f>
        <v>5.539794616467339E-2</v>
      </c>
      <c r="G15" s="26">
        <f>G14/SUM($D14:$H14)</f>
        <v>9.7798470745035795E-2</v>
      </c>
      <c r="H15" s="26">
        <f>H14/SUM($D14:$H14)</f>
        <v>0.24631085479195616</v>
      </c>
    </row>
    <row r="17" spans="2:4" x14ac:dyDescent="0.2">
      <c r="B17" t="s">
        <v>270</v>
      </c>
      <c r="C17" s="26">
        <f>H15</f>
        <v>0.24631085479195616</v>
      </c>
    </row>
    <row r="18" spans="2:4" x14ac:dyDescent="0.2">
      <c r="B18" t="s">
        <v>271</v>
      </c>
      <c r="C18" s="26">
        <f>SUM(D15:G15)</f>
        <v>0.75368914520804386</v>
      </c>
    </row>
    <row r="20" spans="2:4" x14ac:dyDescent="0.2">
      <c r="B20" t="s">
        <v>290</v>
      </c>
      <c r="C20" s="1">
        <v>875652</v>
      </c>
      <c r="D20" t="s">
        <v>293</v>
      </c>
    </row>
    <row r="21" spans="2:4" x14ac:dyDescent="0.2">
      <c r="B21" t="s">
        <v>291</v>
      </c>
      <c r="C21" s="1">
        <v>992605</v>
      </c>
      <c r="D21" t="s">
        <v>292</v>
      </c>
    </row>
    <row r="22" spans="2:4" x14ac:dyDescent="0.2">
      <c r="B22" t="s">
        <v>294</v>
      </c>
      <c r="C22" s="1">
        <f>SUM(C9:C12)*C21/C20</f>
        <v>637030.7035957207</v>
      </c>
    </row>
    <row r="24" spans="2:4" x14ac:dyDescent="0.2">
      <c r="B24" t="s">
        <v>255</v>
      </c>
    </row>
    <row r="25" spans="2:4" x14ac:dyDescent="0.2">
      <c r="B25" t="s">
        <v>256</v>
      </c>
    </row>
    <row r="26" spans="2:4" x14ac:dyDescent="0.2">
      <c r="B26" t="s">
        <v>257</v>
      </c>
    </row>
    <row r="27" spans="2:4" x14ac:dyDescent="0.2">
      <c r="B27" t="s">
        <v>258</v>
      </c>
    </row>
    <row r="28" spans="2:4" x14ac:dyDescent="0.2">
      <c r="B28" t="s">
        <v>272</v>
      </c>
    </row>
    <row r="29" spans="2:4" x14ac:dyDescent="0.2">
      <c r="B29" t="s">
        <v>273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outputs</vt:lpstr>
      <vt:lpstr>HECO 2013</vt:lpstr>
      <vt:lpstr>BAU adoption</vt:lpstr>
      <vt:lpstr>EoT</vt:lpstr>
      <vt:lpstr>Vehicle profiles</vt:lpstr>
      <vt:lpstr>Private car charging</vt:lpstr>
      <vt:lpstr>days_in_reference_year</vt:lpstr>
      <vt:lpstr>ev_data</vt:lpstr>
      <vt:lpstr>oahu_passenger_vehicles_gals_gas_per_year</vt:lpstr>
      <vt:lpstr>private_ev_fleet_size</vt:lpstr>
      <vt:lpstr>private_ev_home_charging_share</vt:lpstr>
      <vt:lpstr>private_ev_work_charging_share</vt:lpstr>
      <vt:lpstr>vehicle_data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2015-07-27T08:27:16Z</dcterms:created>
  <dcterms:modified xsi:type="dcterms:W3CDTF">2019-10-11T22:25:55Z</dcterms:modified>
</cp:coreProperties>
</file>