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3"/>
  <workbookPr showInkAnnotation="0" autoCompressPictures="0"/>
  <mc:AlternateContent xmlns:mc="http://schemas.openxmlformats.org/markup-compatibility/2006">
    <mc:Choice Requires="x15">
      <x15ac:absPath xmlns:x15ac="http://schemas.microsoft.com/office/spreadsheetml/2010/11/ac" url="/Users/matthias/Dropbox/Research/shared/Switch-Hawaii/data/Generator Info/"/>
    </mc:Choice>
  </mc:AlternateContent>
  <xr:revisionPtr revIDLastSave="0" documentId="13_ncr:1_{73BD64AE-884A-6B4C-9817-8CFA893500BA}" xr6:coauthVersionLast="45" xr6:coauthVersionMax="45" xr10:uidLastSave="{00000000-0000-0000-0000-000000000000}"/>
  <bookViews>
    <workbookView xWindow="860" yWindow="460" windowWidth="26460" windowHeight="16860" tabRatio="500" xr2:uid="{00000000-000D-0000-FFFF-FFFF00000000}"/>
  </bookViews>
  <sheets>
    <sheet name="technologies and projects" sheetId="2" r:id="rId1"/>
  </sheets>
  <definedNames>
    <definedName name="base_year">'technologies and projects'!$A$2</definedName>
    <definedName name="build_info">'technologies and projects'!$A$34:$K$68</definedName>
    <definedName name="heat_rate_info">'technologies and projects'!$B$6:$W$30</definedName>
    <definedName name="technology_info">'technologies and projects'!$A$34:$AC$57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54" i="2" l="1"/>
  <c r="G62" i="2" l="1"/>
  <c r="G63" i="2" s="1"/>
  <c r="A86" i="2" l="1"/>
  <c r="A87" i="2"/>
  <c r="A88" i="2"/>
  <c r="A89" i="2"/>
  <c r="A90" i="2"/>
  <c r="A91" i="2"/>
  <c r="A92" i="2"/>
  <c r="A93" i="2"/>
  <c r="A94" i="2"/>
  <c r="A85" i="2"/>
  <c r="B75" i="2"/>
  <c r="D77" i="2"/>
  <c r="D76" i="2"/>
  <c r="D78" i="2"/>
  <c r="F78" i="2" s="1"/>
  <c r="K78" i="2" s="1"/>
  <c r="D79" i="2"/>
  <c r="D80" i="2"/>
  <c r="F80" i="2" s="1"/>
  <c r="K80" i="2" s="1"/>
  <c r="D81" i="2"/>
  <c r="D75" i="2"/>
  <c r="D82" i="2"/>
  <c r="M35" i="2"/>
  <c r="G35" i="2" s="1"/>
  <c r="M36" i="2"/>
  <c r="G36" i="2" s="1"/>
  <c r="M37" i="2"/>
  <c r="G37" i="2" s="1"/>
  <c r="M38" i="2"/>
  <c r="G38" i="2" s="1"/>
  <c r="M39" i="2"/>
  <c r="G39" i="2" s="1"/>
  <c r="M40" i="2"/>
  <c r="G40" i="2" s="1"/>
  <c r="M41" i="2"/>
  <c r="G41" i="2" s="1"/>
  <c r="M42" i="2"/>
  <c r="G42" i="2" s="1"/>
  <c r="M43" i="2"/>
  <c r="G43" i="2" s="1"/>
  <c r="M44" i="2"/>
  <c r="G44" i="2" s="1"/>
  <c r="M45" i="2"/>
  <c r="G45" i="2" s="1"/>
  <c r="M46" i="2"/>
  <c r="G46" i="2" s="1"/>
  <c r="M47" i="2"/>
  <c r="G47" i="2" s="1"/>
  <c r="M48" i="2"/>
  <c r="G48" i="2" s="1"/>
  <c r="M49" i="2"/>
  <c r="G49" i="2" s="1"/>
  <c r="M50" i="2"/>
  <c r="G50" i="2" s="1"/>
  <c r="M56" i="2"/>
  <c r="G56" i="2" s="1"/>
  <c r="M57" i="2"/>
  <c r="G57" i="2" s="1"/>
  <c r="O55" i="2"/>
  <c r="O54" i="2"/>
  <c r="O53" i="2"/>
  <c r="O52" i="2"/>
  <c r="O51" i="2"/>
  <c r="O49" i="2"/>
  <c r="O50" i="2"/>
  <c r="R36" i="2"/>
  <c r="R37" i="2"/>
  <c r="R38" i="2"/>
  <c r="R39" i="2"/>
  <c r="R40" i="2"/>
  <c r="R41" i="2"/>
  <c r="R42" i="2"/>
  <c r="R43" i="2"/>
  <c r="R44" i="2"/>
  <c r="R45" i="2"/>
  <c r="R46" i="2"/>
  <c r="R47" i="2"/>
  <c r="R48" i="2"/>
  <c r="R49" i="2"/>
  <c r="R50" i="2"/>
  <c r="R51" i="2"/>
  <c r="R52" i="2"/>
  <c r="R53" i="2"/>
  <c r="R54" i="2"/>
  <c r="R55" i="2"/>
  <c r="R56" i="2"/>
  <c r="R57" i="2"/>
  <c r="R35" i="2"/>
  <c r="C36" i="2"/>
  <c r="B9" i="2" s="1"/>
  <c r="C37" i="2"/>
  <c r="B10" i="2" s="1"/>
  <c r="C38" i="2"/>
  <c r="B11" i="2" s="1"/>
  <c r="C39" i="2"/>
  <c r="B12" i="2" s="1"/>
  <c r="C40" i="2"/>
  <c r="B13" i="2" s="1"/>
  <c r="C41" i="2"/>
  <c r="B14" i="2" s="1"/>
  <c r="C42" i="2"/>
  <c r="B15" i="2" s="1"/>
  <c r="C43" i="2"/>
  <c r="B16" i="2" s="1"/>
  <c r="C44" i="2"/>
  <c r="B17" i="2" s="1"/>
  <c r="C45" i="2"/>
  <c r="B18" i="2" s="1"/>
  <c r="C46" i="2"/>
  <c r="B19" i="2" s="1"/>
  <c r="C47" i="2"/>
  <c r="B20" i="2" s="1"/>
  <c r="C48" i="2"/>
  <c r="B21" i="2" s="1"/>
  <c r="C49" i="2"/>
  <c r="B22" i="2" s="1"/>
  <c r="C50" i="2"/>
  <c r="B23" i="2" s="1"/>
  <c r="C51" i="2"/>
  <c r="B24" i="2" s="1"/>
  <c r="C52" i="2"/>
  <c r="B25" i="2" s="1"/>
  <c r="C53" i="2"/>
  <c r="B26" i="2" s="1"/>
  <c r="B27" i="2"/>
  <c r="B28" i="2"/>
  <c r="B29" i="2"/>
  <c r="B30" i="2"/>
  <c r="C35" i="2"/>
  <c r="B8" i="2" s="1"/>
  <c r="S36" i="2"/>
  <c r="S37" i="2"/>
  <c r="S38" i="2"/>
  <c r="S39" i="2"/>
  <c r="S40" i="2"/>
  <c r="S41" i="2"/>
  <c r="S42" i="2"/>
  <c r="S43" i="2"/>
  <c r="S44" i="2"/>
  <c r="S45" i="2"/>
  <c r="S46" i="2"/>
  <c r="S47" i="2"/>
  <c r="S48" i="2"/>
  <c r="S49" i="2"/>
  <c r="S50" i="2"/>
  <c r="S51" i="2"/>
  <c r="S52" i="2"/>
  <c r="S53" i="2"/>
  <c r="S54" i="2"/>
  <c r="S55" i="2"/>
  <c r="S56" i="2"/>
  <c r="S57" i="2"/>
  <c r="S35" i="2"/>
  <c r="O36" i="2"/>
  <c r="O37" i="2"/>
  <c r="O38" i="2"/>
  <c r="O39" i="2"/>
  <c r="O40" i="2"/>
  <c r="O41" i="2"/>
  <c r="O42" i="2"/>
  <c r="P16" i="2"/>
  <c r="O43" i="2" s="1"/>
  <c r="P17" i="2"/>
  <c r="O44" i="2" s="1"/>
  <c r="O45" i="2"/>
  <c r="O46" i="2"/>
  <c r="O47" i="2"/>
  <c r="O48" i="2"/>
  <c r="O56" i="2"/>
  <c r="O57" i="2"/>
  <c r="O35" i="2"/>
  <c r="P36" i="2"/>
  <c r="P37" i="2"/>
  <c r="P38" i="2"/>
  <c r="P39" i="2"/>
  <c r="P40" i="2"/>
  <c r="P41" i="2"/>
  <c r="P42" i="2"/>
  <c r="P43" i="2"/>
  <c r="P44" i="2"/>
  <c r="P45" i="2"/>
  <c r="P46" i="2"/>
  <c r="P47" i="2"/>
  <c r="P48" i="2"/>
  <c r="P49" i="2"/>
  <c r="P50" i="2"/>
  <c r="P51" i="2"/>
  <c r="P52" i="2"/>
  <c r="P53" i="2"/>
  <c r="P54" i="2"/>
  <c r="P55" i="2"/>
  <c r="P56" i="2"/>
  <c r="P57" i="2"/>
  <c r="P35" i="2"/>
  <c r="Q55" i="2"/>
  <c r="X36" i="2"/>
  <c r="X37" i="2"/>
  <c r="X38" i="2"/>
  <c r="X39" i="2"/>
  <c r="X40" i="2"/>
  <c r="X41" i="2"/>
  <c r="X42" i="2"/>
  <c r="X43" i="2"/>
  <c r="X44" i="2"/>
  <c r="X45" i="2"/>
  <c r="X46" i="2"/>
  <c r="X47" i="2"/>
  <c r="X48" i="2"/>
  <c r="X49" i="2"/>
  <c r="X50" i="2"/>
  <c r="X51" i="2"/>
  <c r="X52" i="2"/>
  <c r="X53" i="2"/>
  <c r="X54" i="2"/>
  <c r="X55" i="2"/>
  <c r="X56" i="2"/>
  <c r="X57" i="2"/>
  <c r="X35" i="2"/>
  <c r="K29" i="2"/>
  <c r="M51" i="2"/>
  <c r="G51" i="2" s="1"/>
  <c r="M52" i="2"/>
  <c r="G52" i="2" s="1"/>
  <c r="M53" i="2"/>
  <c r="G53" i="2" s="1"/>
  <c r="M54" i="2"/>
  <c r="G54" i="2" s="1"/>
  <c r="G55" i="2"/>
  <c r="S9" i="2"/>
  <c r="T9" i="2" s="1"/>
  <c r="U9" i="2" s="1"/>
  <c r="V9" i="2" s="1"/>
  <c r="W9" i="2" s="1"/>
  <c r="S10" i="2"/>
  <c r="T10" i="2" s="1"/>
  <c r="U10" i="2" s="1"/>
  <c r="V10" i="2" s="1"/>
  <c r="W10" i="2" s="1"/>
  <c r="X10" i="2" s="1"/>
  <c r="Y10" i="2" s="1"/>
  <c r="S11" i="2"/>
  <c r="T11" i="2" s="1"/>
  <c r="U11" i="2" s="1"/>
  <c r="V11" i="2" s="1"/>
  <c r="W11" i="2" s="1"/>
  <c r="S12" i="2"/>
  <c r="T12" i="2" s="1"/>
  <c r="U12" i="2" s="1"/>
  <c r="V12" i="2" s="1"/>
  <c r="W12" i="2" s="1"/>
  <c r="S13" i="2"/>
  <c r="T13" i="2" s="1"/>
  <c r="U13" i="2" s="1"/>
  <c r="V13" i="2" s="1"/>
  <c r="W13" i="2" s="1"/>
  <c r="S14" i="2"/>
  <c r="T14" i="2" s="1"/>
  <c r="U14" i="2" s="1"/>
  <c r="V14" i="2" s="1"/>
  <c r="W14" i="2" s="1"/>
  <c r="S15" i="2"/>
  <c r="T15" i="2" s="1"/>
  <c r="U15" i="2" s="1"/>
  <c r="V15" i="2" s="1"/>
  <c r="W15" i="2" s="1"/>
  <c r="S16" i="2"/>
  <c r="T16" i="2" s="1"/>
  <c r="U16" i="2" s="1"/>
  <c r="V16" i="2" s="1"/>
  <c r="W16" i="2" s="1"/>
  <c r="S17" i="2"/>
  <c r="T17" i="2" s="1"/>
  <c r="U17" i="2" s="1"/>
  <c r="V17" i="2" s="1"/>
  <c r="W17" i="2" s="1"/>
  <c r="X17" i="2" s="1"/>
  <c r="Y17" i="2" s="1"/>
  <c r="S18" i="2"/>
  <c r="T18" i="2" s="1"/>
  <c r="U18" i="2" s="1"/>
  <c r="V18" i="2" s="1"/>
  <c r="W18" i="2" s="1"/>
  <c r="S19" i="2"/>
  <c r="T19" i="2" s="1"/>
  <c r="U19" i="2" s="1"/>
  <c r="V19" i="2" s="1"/>
  <c r="W19" i="2" s="1"/>
  <c r="S20" i="2"/>
  <c r="T20" i="2" s="1"/>
  <c r="U20" i="2" s="1"/>
  <c r="V20" i="2" s="1"/>
  <c r="W20" i="2" s="1"/>
  <c r="S21" i="2"/>
  <c r="T21" i="2"/>
  <c r="U21" i="2" s="1"/>
  <c r="V21" i="2" s="1"/>
  <c r="W21" i="2" s="1"/>
  <c r="X21" i="2" s="1"/>
  <c r="Y21" i="2" s="1"/>
  <c r="S22" i="2"/>
  <c r="T22" i="2" s="1"/>
  <c r="U22" i="2" s="1"/>
  <c r="V22" i="2" s="1"/>
  <c r="W22" i="2" s="1"/>
  <c r="S23" i="2"/>
  <c r="T23" i="2" s="1"/>
  <c r="U23" i="2" s="1"/>
  <c r="V23" i="2" s="1"/>
  <c r="W23" i="2" s="1"/>
  <c r="S24" i="2"/>
  <c r="T24" i="2" s="1"/>
  <c r="U24" i="2" s="1"/>
  <c r="V24" i="2" s="1"/>
  <c r="W24" i="2" s="1"/>
  <c r="S25" i="2"/>
  <c r="T25" i="2" s="1"/>
  <c r="U25" i="2" s="1"/>
  <c r="V25" i="2" s="1"/>
  <c r="W25" i="2" s="1"/>
  <c r="S26" i="2"/>
  <c r="T26" i="2" s="1"/>
  <c r="U26" i="2" s="1"/>
  <c r="V26" i="2" s="1"/>
  <c r="W26" i="2" s="1"/>
  <c r="S27" i="2"/>
  <c r="T27" i="2" s="1"/>
  <c r="U27" i="2" s="1"/>
  <c r="V27" i="2" s="1"/>
  <c r="W27" i="2" s="1"/>
  <c r="S28" i="2"/>
  <c r="T28" i="2" s="1"/>
  <c r="U28" i="2" s="1"/>
  <c r="V28" i="2" s="1"/>
  <c r="W28" i="2" s="1"/>
  <c r="X28" i="2" s="1"/>
  <c r="Y28" i="2" s="1"/>
  <c r="S29" i="2"/>
  <c r="T29" i="2" s="1"/>
  <c r="U29" i="2" s="1"/>
  <c r="V29" i="2" s="1"/>
  <c r="W29" i="2" s="1"/>
  <c r="X29" i="2" s="1"/>
  <c r="Y29" i="2" s="1"/>
  <c r="E30" i="2"/>
  <c r="S30" i="2" s="1"/>
  <c r="T30" i="2" s="1"/>
  <c r="U30" i="2" s="1"/>
  <c r="V30" i="2" s="1"/>
  <c r="W30" i="2" s="1"/>
  <c r="X30" i="2" s="1"/>
  <c r="Y30" i="2" s="1"/>
  <c r="S8" i="2"/>
  <c r="T8" i="2" s="1"/>
  <c r="U8" i="2" s="1"/>
  <c r="V8" i="2" s="1"/>
  <c r="W8" i="2" s="1"/>
  <c r="L57" i="2"/>
  <c r="L56" i="2"/>
  <c r="L55" i="2"/>
  <c r="L53" i="2"/>
  <c r="L52" i="2"/>
  <c r="L51" i="2"/>
  <c r="X11" i="2" l="1"/>
  <c r="Y11" i="2" s="1"/>
  <c r="X9" i="2"/>
  <c r="Y9" i="2" s="1"/>
  <c r="X25" i="2"/>
  <c r="Y25" i="2" s="1"/>
  <c r="X23" i="2"/>
  <c r="Y23" i="2" s="1"/>
  <c r="X22" i="2"/>
  <c r="Y22" i="2" s="1"/>
  <c r="X15" i="2"/>
  <c r="Y15" i="2" s="1"/>
  <c r="X16" i="2"/>
  <c r="Y16" i="2" s="1"/>
  <c r="X14" i="2"/>
  <c r="Y14" i="2" s="1"/>
  <c r="X8" i="2"/>
  <c r="Y8" i="2" s="1"/>
  <c r="X27" i="2"/>
  <c r="Y27" i="2" s="1"/>
  <c r="X26" i="2"/>
  <c r="Y26" i="2" s="1"/>
  <c r="F77" i="2"/>
  <c r="F76" i="2"/>
  <c r="K76" i="2" s="1"/>
  <c r="X19" i="2"/>
  <c r="Y19" i="2" s="1"/>
  <c r="X20" i="2"/>
  <c r="Y20" i="2" s="1"/>
  <c r="X18" i="2"/>
  <c r="Y18" i="2" s="1"/>
  <c r="X12" i="2"/>
  <c r="Y12" i="2" s="1"/>
  <c r="X13" i="2"/>
  <c r="Y13" i="2" s="1"/>
  <c r="X24" i="2"/>
  <c r="Y24" i="2" s="1"/>
  <c r="E82" i="2"/>
  <c r="F82" i="2" s="1"/>
  <c r="K82" i="2" s="1"/>
  <c r="K77" i="2"/>
  <c r="H47" i="2"/>
  <c r="H39" i="2"/>
  <c r="H40" i="2"/>
  <c r="H46" i="2"/>
  <c r="H38" i="2"/>
  <c r="H45" i="2"/>
  <c r="H37" i="2"/>
  <c r="H44" i="2"/>
  <c r="H36" i="2"/>
  <c r="H35" i="2"/>
  <c r="H43" i="2"/>
  <c r="H56" i="2"/>
  <c r="F79" i="2"/>
  <c r="K79" i="2" s="1"/>
  <c r="H50" i="2"/>
  <c r="H42" i="2"/>
  <c r="H57" i="2"/>
  <c r="H49" i="2"/>
  <c r="H41" i="2"/>
  <c r="H48" i="2"/>
  <c r="E81" i="2" l="1"/>
  <c r="F81" i="2" s="1"/>
  <c r="K8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Matthias Fripp</author>
  </authors>
  <commentList>
    <comment ref="P16" authorId="0" shapeId="0" xr:uid="{00000000-0006-0000-0000-000001000000}">
      <text>
        <r>
          <rPr>
            <sz val="9"/>
            <color indexed="81"/>
            <rFont val="Calibri"/>
            <family val="2"/>
          </rPr>
          <t>converted hourly cost to cost per MWh, assuming operation in middle of range</t>
        </r>
      </text>
    </comment>
    <comment ref="P17" authorId="0" shapeId="0" xr:uid="{00000000-0006-0000-0000-000002000000}">
      <text>
        <r>
          <rPr>
            <sz val="9"/>
            <color indexed="81"/>
            <rFont val="Calibri"/>
            <family val="2"/>
          </rPr>
          <t>converted hourly cost to cost per MWh, assuming operation in middle of range</t>
        </r>
      </text>
    </comment>
    <comment ref="P24" authorId="0" shapeId="0" xr:uid="{00000000-0006-0000-0000-000003000000}">
      <text>
        <r>
          <rPr>
            <sz val="9"/>
            <color indexed="81"/>
            <rFont val="Calibri"/>
            <family val="2"/>
          </rPr>
          <t>From p. 18 of Coffman UHERO report at http://uhero.hawaii.edu/assets/WP_2014-5.pdf</t>
        </r>
      </text>
    </comment>
    <comment ref="J27" authorId="0" shapeId="0" xr:uid="{EDC308F6-0D5F-1742-87B1-CAEADA53C8DA}">
      <text>
        <r>
          <rPr>
            <sz val="10"/>
            <color rgb="FF000000"/>
            <rFont val="Tahoma"/>
            <family val="2"/>
          </rPr>
          <t>Changed from 185 to 180 to match GE RPS Study (</t>
        </r>
        <r>
          <rPr>
            <sz val="10"/>
            <color rgb="FF000000"/>
            <rFont val="Tahoma"/>
            <family val="2"/>
          </rPr>
          <t xml:space="preserve">http://www.hnei.hawaii.edu/projects/hawaii-rps-study) </t>
        </r>
        <r>
          <rPr>
            <sz val="10"/>
            <color rgb="FF000000"/>
            <rFont val="Tahoma"/>
            <family val="2"/>
          </rPr>
          <t>and EIA form 860 data for 2017.</t>
        </r>
      </text>
    </comment>
    <comment ref="P27" authorId="0" shapeId="0" xr:uid="{00000000-0006-0000-0000-000004000000}">
      <text>
        <r>
          <rPr>
            <sz val="9"/>
            <color indexed="81"/>
            <rFont val="Calibri"/>
            <family val="2"/>
          </rPr>
          <t>From p. 18 of Coffman UHERO report at http://uhero.hawaii.edu/assets/WP_2014-5.pdf</t>
        </r>
      </text>
    </comment>
    <comment ref="E28" authorId="0" shapeId="0" xr:uid="{00000000-0006-0000-0000-000005000000}">
      <text>
        <r>
          <rPr>
            <sz val="9"/>
            <color indexed="81"/>
            <rFont val="Calibri"/>
            <family val="2"/>
          </rPr>
          <t>Removed heat rate (74014!) because it runs on waste, which is a non-fuel in SWITCH-Hawaii.</t>
        </r>
      </text>
    </comment>
    <comment ref="G28" authorId="0" shapeId="0" xr:uid="{00000000-0006-0000-0000-000006000000}">
      <text>
        <r>
          <rPr>
            <sz val="9"/>
            <color indexed="81"/>
            <rFont val="Calibri"/>
            <family val="2"/>
          </rPr>
          <t>removed 73 MW operating point because we don't use a heat rate curve for MSW (treat as non-fuel energy source)</t>
        </r>
      </text>
    </comment>
    <comment ref="P28" authorId="0" shapeId="0" xr:uid="{00000000-0006-0000-0000-000007000000}">
      <text>
        <r>
          <rPr>
            <sz val="9"/>
            <color indexed="81"/>
            <rFont val="Calibri"/>
            <family val="2"/>
          </rPr>
          <t>From p. 18 of Coffman UHERO report at http://uhero.hawaii.edu/assets/WP_2014-5.pdf</t>
        </r>
      </text>
    </comment>
    <comment ref="C29" authorId="0" shapeId="0" xr:uid="{00000000-0006-0000-0000-000008000000}">
      <text>
        <r>
          <rPr>
            <sz val="9"/>
            <color indexed="81"/>
            <rFont val="Calibri"/>
            <family val="2"/>
          </rPr>
          <t>This is Siemens SGT6-3000E per final order in docket 2005-0145</t>
        </r>
      </text>
    </comment>
    <comment ref="K29" authorId="0" shapeId="0" xr:uid="{00000000-0006-0000-0000-000009000000}">
      <text>
        <r>
          <rPr>
            <sz val="9"/>
            <color indexed="81"/>
            <rFont val="Calibri"/>
            <family val="2"/>
          </rPr>
          <t>Assigned a value to make consistent with full-load heat rate</t>
        </r>
      </text>
    </comment>
    <comment ref="E30" authorId="0" shapeId="0" xr:uid="{00000000-0006-0000-0000-00000A000000}">
      <text>
        <r>
          <rPr>
            <sz val="9"/>
            <color indexed="81"/>
            <rFont val="Calibri"/>
            <family val="2"/>
          </rPr>
          <t>Changed from 40.8 to be consistent with 8 MW min/max load and 10,205 full load heat rate</t>
        </r>
      </text>
    </comment>
    <comment ref="F30" authorId="0" shapeId="0" xr:uid="{00000000-0006-0000-0000-00000B000000}">
      <text>
        <r>
          <rPr>
            <sz val="9"/>
            <color indexed="81"/>
            <rFont val="Calibri"/>
            <family val="2"/>
          </rPr>
          <t>Changed from  0 because HECO can only run gen at 8 MW (and only 1500 h/y) per application (p. 23) in docket 2008-0329</t>
        </r>
      </text>
    </comment>
    <comment ref="K30" authorId="0" shapeId="0" xr:uid="{00000000-0006-0000-0000-00000C000000}">
      <text>
        <r>
          <rPr>
            <sz val="9"/>
            <color indexed="81"/>
            <rFont val="Calibri"/>
            <family val="2"/>
          </rPr>
          <t>removed 10,205 from here because it has no corresponding power point</t>
        </r>
      </text>
    </comment>
    <comment ref="F34" authorId="0" shapeId="0" xr:uid="{00000000-0006-0000-0000-00000D000000}">
      <text>
        <r>
          <rPr>
            <sz val="9"/>
            <color indexed="81"/>
            <rFont val="Calibri"/>
            <family val="2"/>
          </rPr>
          <t>from EIA 860 or 923 database unless otherwise noted</t>
        </r>
      </text>
    </comment>
    <comment ref="G34" authorId="0" shapeId="0" xr:uid="{00000000-0006-0000-0000-00000E000000}">
      <text>
        <r>
          <rPr>
            <sz val="9"/>
            <color rgb="FF000000"/>
            <rFont val="Calibri"/>
            <family val="2"/>
          </rPr>
          <t>Despite the name, this is actually the amount of capacity added in each project in the specified year.</t>
        </r>
      </text>
    </comment>
    <comment ref="H34" authorId="0" shapeId="0" xr:uid="{00000000-0006-0000-0000-00000F000000}">
      <text>
        <r>
          <rPr>
            <sz val="9"/>
            <color rgb="FF000000"/>
            <rFont val="Calibri"/>
            <family val="2"/>
          </rPr>
          <t>$/kW, should be omitted if technology and build_year are covered by the new generator costs workbook</t>
        </r>
      </text>
    </comment>
    <comment ref="I34" authorId="0" shapeId="0" xr:uid="{00000000-0006-0000-0000-000010000000}">
      <text>
        <r>
          <rPr>
            <sz val="9"/>
            <color rgb="FF000000"/>
            <rFont val="Calibri"/>
            <family val="2"/>
          </rPr>
          <t xml:space="preserve">$/kW-year
</t>
        </r>
        <r>
          <rPr>
            <sz val="9"/>
            <color rgb="FF000000"/>
            <rFont val="Calibri"/>
            <family val="2"/>
          </rPr>
          <t>Should be omitted if technology and build_year are covered by the new generator costs workbook</t>
        </r>
      </text>
    </comment>
    <comment ref="J34" authorId="0" shapeId="0" xr:uid="{F0173A32-3B7B-0E48-A352-47CC9E5FE7BC}">
      <text>
        <r>
          <rPr>
            <sz val="10"/>
            <color rgb="FF000000"/>
            <rFont val="Tahoma"/>
            <family val="2"/>
          </rPr>
          <t>If latitude and longitude are specified, they are used to match existing renewable projects to available resources and/or to calculate spur line cost to interconnect; if omitted, spur line cost will be assumed 0.</t>
        </r>
      </text>
    </comment>
    <comment ref="L34" authorId="0" shapeId="0" xr:uid="{00000000-0006-0000-0000-000011000000}">
      <text>
        <r>
          <rPr>
            <sz val="9"/>
            <color rgb="FF000000"/>
            <rFont val="Calibri"/>
            <family val="2"/>
          </rPr>
          <t>from 2016-12-23 PSIP, Book 1, pp. 4-3 - 4-4 (E3 Plan) unless otherwise noted</t>
        </r>
      </text>
    </comment>
    <comment ref="S34" authorId="0" shapeId="0" xr:uid="{00000000-0006-0000-0000-000012000000}">
      <text>
        <r>
          <rPr>
            <sz val="9"/>
            <color indexed="81"/>
            <rFont val="Calibri"/>
            <family val="2"/>
          </rPr>
          <t>full load heat rate, Btu/kWh</t>
        </r>
      </text>
    </comment>
    <comment ref="W34" authorId="0" shapeId="0" xr:uid="{00000000-0006-0000-0000-000013000000}">
      <text>
        <r>
          <rPr>
            <sz val="9"/>
            <color indexed="81"/>
            <rFont val="Calibri"/>
            <family val="2"/>
          </rPr>
          <t>closest match to HECO's definition of "baseload" -- must be committed, but level can be adjusted.
from Hawaii RPS Study, GE Energy Management Energy Consulting. 8.2 Thermal Generating Characteristics, Table 7: Thermal Generating Unit Properties</t>
        </r>
      </text>
    </comment>
    <comment ref="X34" authorId="0" shapeId="0" xr:uid="{00000000-0006-0000-0000-000014000000}">
      <text>
        <r>
          <rPr>
            <sz val="9"/>
            <color indexed="81"/>
            <rFont val="Calibri"/>
            <family val="2"/>
          </rPr>
          <t>Must be fully committed or fully non-committed during each timeseries (day)</t>
        </r>
      </text>
    </comment>
    <comment ref="Y34" authorId="0" shapeId="0" xr:uid="{00000000-0006-0000-0000-000015000000}">
      <text>
        <r>
          <rPr>
            <sz val="9"/>
            <color indexed="81"/>
            <rFont val="Calibri"/>
            <family val="2"/>
          </rPr>
          <t>forces dispatch at 100% unless otherwise specified</t>
        </r>
      </text>
    </comment>
    <comment ref="AA34" authorId="0" shapeId="0" xr:uid="{00000000-0006-0000-0000-000016000000}">
      <text>
        <r>
          <rPr>
            <sz val="9"/>
            <color indexed="81"/>
            <rFont val="Calibri"/>
            <family val="2"/>
          </rPr>
          <t>From GE Hawaii RPS Study for HNEI, 2015, https://www.hnei.hawaii.edu/projects/hawaii-rps-study</t>
        </r>
      </text>
    </comment>
    <comment ref="AB34" authorId="0" shapeId="0" xr:uid="{00000000-0006-0000-0000-000017000000}">
      <text>
        <r>
          <rPr>
            <sz val="9"/>
            <color indexed="81"/>
            <rFont val="Calibri"/>
            <family val="2"/>
          </rPr>
          <t>From GE Hawaii RPS Study for HNEI, 2015, https://www.hnei.hawaii.edu/projects/hawaii-rps-study</t>
        </r>
      </text>
    </comment>
    <comment ref="AC34" authorId="0" shapeId="0" xr:uid="{00000000-0006-0000-0000-000018000000}">
      <text>
        <r>
          <rPr>
            <sz val="9"/>
            <color indexed="81"/>
            <rFont val="Calibri"/>
            <family val="2"/>
          </rPr>
          <t>MMBtu, for whole unit
Used hot values from Hawaii RPS Study</t>
        </r>
      </text>
    </comment>
    <comment ref="H35" authorId="0" shapeId="0" xr:uid="{00000000-0006-0000-0000-000019000000}">
      <text>
        <r>
          <rPr>
            <sz val="9"/>
            <color rgb="FF000000"/>
            <rFont val="Calibri"/>
            <family val="2"/>
          </rPr>
          <t>$/kW; 2016 annual report says total ratebase is $1386000000, which is about half generation, so we set value per kW accordingly</t>
        </r>
      </text>
    </comment>
    <comment ref="L43" authorId="0" shapeId="0" xr:uid="{00000000-0006-0000-0000-00001A000000}">
      <text>
        <r>
          <rPr>
            <sz val="9"/>
            <color rgb="FF000000"/>
            <rFont val="Calibri"/>
            <family val="2"/>
          </rPr>
          <t>set to 2050 since the plan says it will switch to biodiesel in 2045</t>
        </r>
      </text>
    </comment>
    <comment ref="L44" authorId="0" shapeId="0" xr:uid="{00000000-0006-0000-0000-00001B000000}">
      <text>
        <r>
          <rPr>
            <sz val="9"/>
            <color indexed="81"/>
            <rFont val="Calibri"/>
            <family val="2"/>
          </rPr>
          <t>set to 2050 since the plan says it will switch to biodiesel in 2045</t>
        </r>
      </text>
    </comment>
    <comment ref="H51" authorId="0" shapeId="0" xr:uid="{00000000-0006-0000-0000-00001C000000}">
      <text>
        <r>
          <rPr>
            <sz val="9"/>
            <color indexed="81"/>
            <rFont val="Calibri"/>
            <family val="2"/>
          </rPr>
          <t>set to to roughly match cost of new CC plant and interconnect from PSIP 2016-12</t>
        </r>
      </text>
    </comment>
    <comment ref="L51" authorId="0" shapeId="0" xr:uid="{00000000-0006-0000-0000-00001D000000}">
      <text>
        <r>
          <rPr>
            <sz val="9"/>
            <color rgb="FF000000"/>
            <rFont val="Calibri"/>
            <family val="2"/>
          </rPr>
          <t>set to 61 years, based on average age of already-scheduled retirements</t>
        </r>
      </text>
    </comment>
    <comment ref="L52" authorId="0" shapeId="0" xr:uid="{00000000-0006-0000-0000-00001E000000}">
      <text>
        <r>
          <rPr>
            <sz val="9"/>
            <color rgb="FF000000"/>
            <rFont val="Calibri"/>
            <family val="2"/>
          </rPr>
          <t>set to 61 years, based on average age of already-scheduled retirements</t>
        </r>
      </text>
    </comment>
    <comment ref="L53" authorId="0" shapeId="0" xr:uid="{00000000-0006-0000-0000-00001F000000}">
      <text>
        <r>
          <rPr>
            <sz val="9"/>
            <color rgb="FF000000"/>
            <rFont val="Calibri"/>
            <family val="2"/>
          </rPr>
          <t>set to 61 years, based on average age of already-scheduled retirements</t>
        </r>
      </text>
    </comment>
    <comment ref="L54" authorId="0" shapeId="0" xr:uid="{00000000-0006-0000-0000-000020000000}">
      <text>
        <r>
          <rPr>
            <sz val="9"/>
            <color rgb="FF000000"/>
            <rFont val="Calibri"/>
            <family val="2"/>
          </rPr>
          <t>set to 30 years (expiry of initial PPA) starting 2019-10-01 because there is no support from PUC, HECO or stakeholders for continuing with coal and continuing with biomass is economically marginal (biomass could burn as well in HECO plants and that's probably easier politically, but we don't generally consider that option).</t>
        </r>
      </text>
    </comment>
    <comment ref="AA54" authorId="0" shapeId="0" xr:uid="{00000000-0006-0000-0000-000021000000}">
      <text>
        <r>
          <rPr>
            <sz val="9"/>
            <color indexed="81"/>
            <rFont val="Calibri"/>
            <family val="2"/>
          </rPr>
          <t>AES PPA states that HECO must reimburse resetart costs if plant operation is suspended more than 5 times in a year. Implied plant must run for long periods at a atime, so we set it to 24 hours.</t>
        </r>
      </text>
    </comment>
    <comment ref="AB54" authorId="0" shapeId="0" xr:uid="{00000000-0006-0000-0000-000022000000}">
      <text>
        <r>
          <rPr>
            <sz val="9"/>
            <color indexed="81"/>
            <rFont val="Calibri"/>
            <family val="2"/>
          </rPr>
          <t>AES PPA states that HECO must reimburse resetart costs if plant operation is suspended more than 5 times in a year. Implied plant must run for long periods at a atime, so we set it to 24 hours.</t>
        </r>
      </text>
    </comment>
    <comment ref="C55" authorId="0" shapeId="0" xr:uid="{00000000-0006-0000-0000-000023000000}">
      <text>
        <r>
          <rPr>
            <sz val="9"/>
            <color rgb="FF000000"/>
            <rFont val="Calibri"/>
            <family val="2"/>
          </rPr>
          <t>note: nameplate capacity is 97.3 MW and winter/summer capacity are 86.0 MW per EIA form 860M for September 2016</t>
        </r>
      </text>
    </comment>
    <comment ref="G55" authorId="0" shapeId="0" xr:uid="{00000000-0006-0000-0000-000024000000}">
      <text>
        <r>
          <rPr>
            <sz val="9"/>
            <color indexed="81"/>
            <rFont val="Calibri"/>
            <family val="2"/>
          </rPr>
          <t>note: nameplate capacity is 97.3 MW and winter/summer capacity are 86.0 MW per EIA form 860M for September 2016</t>
        </r>
      </text>
    </comment>
    <comment ref="L55" authorId="0" shapeId="0" xr:uid="{00000000-0006-0000-0000-000025000000}">
      <text>
        <r>
          <rPr>
            <sz val="9"/>
            <color rgb="FF000000"/>
            <rFont val="Calibri"/>
            <family val="2"/>
          </rPr>
          <t>set to 61 years, based on average age of already-scheduled retirements</t>
        </r>
      </text>
    </comment>
    <comment ref="Q55" authorId="0" shapeId="0" xr:uid="{00000000-0006-0000-0000-000026000000}">
      <text>
        <r>
          <rPr>
            <sz val="9"/>
            <color indexed="81"/>
            <rFont val="Calibri"/>
            <family val="2"/>
          </rPr>
          <t>42.8 MW baseload operation per monthly and annual avg production in EIA form 923 for 2015</t>
        </r>
      </text>
    </comment>
    <comment ref="AA55" authorId="0" shapeId="0" xr:uid="{00000000-0006-0000-0000-000027000000}">
      <text>
        <r>
          <rPr>
            <sz val="9"/>
            <color indexed="81"/>
            <rFont val="Calibri"/>
            <family val="2"/>
          </rPr>
          <t>Treated as zero, since it runs all the time.</t>
        </r>
      </text>
    </comment>
    <comment ref="AB55" authorId="0" shapeId="0" xr:uid="{00000000-0006-0000-0000-000028000000}">
      <text>
        <r>
          <rPr>
            <sz val="9"/>
            <color indexed="81"/>
            <rFont val="Calibri"/>
            <family val="2"/>
          </rPr>
          <t>Treated as zero, since it runs all the time.</t>
        </r>
      </text>
    </comment>
    <comment ref="AC55" authorId="0" shapeId="0" xr:uid="{00000000-0006-0000-0000-000029000000}">
      <text>
        <r>
          <rPr>
            <sz val="9"/>
            <color indexed="81"/>
            <rFont val="Calibri"/>
            <family val="2"/>
          </rPr>
          <t>Treated as variable plant instead of fuel-based gen, so startup fuel must be omitted.</t>
        </r>
      </text>
    </comment>
    <comment ref="L56" authorId="0" shapeId="0" xr:uid="{00000000-0006-0000-0000-00002A000000}">
      <text>
        <r>
          <rPr>
            <sz val="9"/>
            <color rgb="FF000000"/>
            <rFont val="Calibri"/>
            <family val="2"/>
          </rPr>
          <t>set to 61 years, based on average age of already-scheduled retirements</t>
        </r>
      </text>
    </comment>
    <comment ref="C57" authorId="0" shapeId="0" xr:uid="{00000000-0006-0000-0000-00002B000000}">
      <text>
        <r>
          <rPr>
            <sz val="9"/>
            <color rgb="FF000000"/>
            <rFont val="Calibri"/>
            <family val="2"/>
          </rPr>
          <t>"Airport Dispatchable Standby Generation" (docket 2008-0329)</t>
        </r>
      </text>
    </comment>
    <comment ref="F57" authorId="0" shapeId="0" xr:uid="{00000000-0006-0000-0000-00002C000000}">
      <text>
        <r>
          <rPr>
            <sz val="9"/>
            <color rgb="FF000000"/>
            <rFont val="Calibri"/>
            <family val="2"/>
          </rPr>
          <t>planned for late 2013 according to https://puc.hawaii.gov/wp-content/uploads/2015/04/Adequacy-of-Supply-HECO-2013.pdf</t>
        </r>
      </text>
    </comment>
    <comment ref="L57" authorId="0" shapeId="0" xr:uid="{00000000-0006-0000-0000-00002D000000}">
      <text>
        <r>
          <rPr>
            <sz val="9"/>
            <color rgb="FF000000"/>
            <rFont val="Calibri"/>
            <family val="2"/>
          </rPr>
          <t>set to 61 years, based on average age of already-scheduled retirements</t>
        </r>
      </text>
    </comment>
    <comment ref="C58" authorId="0" shapeId="0" xr:uid="{00000000-0006-0000-0000-00002E000000}">
      <text>
        <r>
          <rPr>
            <sz val="9"/>
            <color rgb="FF000000"/>
            <rFont val="Calibri"/>
            <family val="2"/>
          </rPr>
          <t>Kahuku wind farm</t>
        </r>
      </text>
    </comment>
    <comment ref="D58" authorId="0" shapeId="0" xr:uid="{00000000-0006-0000-0000-00002F000000}">
      <text>
        <r>
          <rPr>
            <sz val="9"/>
            <color indexed="81"/>
            <rFont val="Calibri"/>
            <family val="2"/>
          </rPr>
          <t>site and orientation for existing renewable projects will be looked up in import_data.py</t>
        </r>
      </text>
    </comment>
    <comment ref="E58" authorId="0" shapeId="0" xr:uid="{00000000-0006-0000-0000-000030000000}">
      <text>
        <r>
          <rPr>
            <sz val="9"/>
            <color indexed="81"/>
            <rFont val="Calibri"/>
            <family val="2"/>
          </rPr>
          <t>site and orientation for existing renewable projects will be looked up in import_data.py</t>
        </r>
      </text>
    </comment>
    <comment ref="H58" authorId="0" shapeId="0" xr:uid="{ACDD1846-27BD-C749-936B-B8FCFEDF806F}">
      <text>
        <r>
          <rPr>
            <sz val="9"/>
            <color rgb="FF000000"/>
            <rFont val="Calibri"/>
            <family val="2"/>
          </rPr>
          <t>set equal to 2016 cost in NREL Advanced Technology Baseline (see "PSIP 2016-12 and ATB 2018 generator data.xlsx")</t>
        </r>
      </text>
    </comment>
    <comment ref="J58" authorId="0" shapeId="0" xr:uid="{00000000-0006-0000-0000-000032000000}">
      <text>
        <r>
          <rPr>
            <sz val="9"/>
            <color rgb="FF000000"/>
            <rFont val="Calibri"/>
            <family val="2"/>
          </rPr>
          <t>found via Google Maps search</t>
        </r>
      </text>
    </comment>
    <comment ref="C59" authorId="0" shapeId="0" xr:uid="{00000000-0006-0000-0000-000033000000}">
      <text>
        <r>
          <rPr>
            <sz val="9"/>
            <color rgb="FF000000"/>
            <rFont val="Calibri"/>
            <family val="2"/>
          </rPr>
          <t>Kawailoa Wind Farm</t>
        </r>
      </text>
    </comment>
    <comment ref="D59" authorId="0" shapeId="0" xr:uid="{00000000-0006-0000-0000-000034000000}">
      <text>
        <r>
          <rPr>
            <sz val="9"/>
            <color indexed="81"/>
            <rFont val="Calibri"/>
            <family val="2"/>
          </rPr>
          <t>site and orientation for existing renewable projects will be looked up in import_data.py</t>
        </r>
      </text>
    </comment>
    <comment ref="E59" authorId="0" shapeId="0" xr:uid="{00000000-0006-0000-0000-000035000000}">
      <text>
        <r>
          <rPr>
            <sz val="9"/>
            <color indexed="81"/>
            <rFont val="Calibri"/>
            <family val="2"/>
          </rPr>
          <t>site and orientation for existing renewable projects will be looked up in import_data.py</t>
        </r>
      </text>
    </comment>
    <comment ref="H59" authorId="0" shapeId="0" xr:uid="{A30EED11-FE3A-0840-9276-0194FBE47B3F}">
      <text>
        <r>
          <rPr>
            <sz val="9"/>
            <color rgb="FF000000"/>
            <rFont val="Calibri"/>
            <family val="2"/>
          </rPr>
          <t>set equal to 2016 cost in NREL Advanced Technology Baseline (see "PSIP 2016-12 and ATB 2018 generator data.xlsx")</t>
        </r>
      </text>
    </comment>
    <comment ref="J59" authorId="0" shapeId="0" xr:uid="{00000000-0006-0000-0000-000037000000}">
      <text>
        <r>
          <rPr>
            <sz val="9"/>
            <color rgb="FF000000"/>
            <rFont val="Calibri"/>
            <family val="2"/>
          </rPr>
          <t>found via Google Maps search</t>
        </r>
      </text>
    </comment>
    <comment ref="C60" authorId="0" shapeId="0" xr:uid="{00000000-0006-0000-0000-000038000000}">
      <text>
        <r>
          <rPr>
            <sz val="9"/>
            <color rgb="FF000000"/>
            <rFont val="Calibri"/>
            <family val="2"/>
          </rPr>
          <t xml:space="preserve">Kalaeloa Solar 2 (5 MW PV) (KAS1 was canceled)
</t>
        </r>
        <r>
          <rPr>
            <sz val="9"/>
            <color rgb="FF000000"/>
            <rFont val="Calibri"/>
            <family val="2"/>
          </rPr>
          <t xml:space="preserve">
</t>
        </r>
        <r>
          <rPr>
            <sz val="9"/>
            <color rgb="FF000000"/>
            <rFont val="Calibri"/>
            <family val="2"/>
          </rPr>
          <t>should be CentralFixedPV, but we don't generally activate that, so this will do</t>
        </r>
      </text>
    </comment>
    <comment ref="D60" authorId="0" shapeId="0" xr:uid="{00000000-0006-0000-0000-000039000000}">
      <text>
        <r>
          <rPr>
            <sz val="9"/>
            <color indexed="81"/>
            <rFont val="Calibri"/>
            <family val="2"/>
          </rPr>
          <t>site and orientation for existing renewable projects will be looked up in import_data.py</t>
        </r>
      </text>
    </comment>
    <comment ref="E60" authorId="0" shapeId="0" xr:uid="{00000000-0006-0000-0000-00003A000000}">
      <text>
        <r>
          <rPr>
            <sz val="9"/>
            <color rgb="FF000000"/>
            <rFont val="Calibri"/>
            <family val="2"/>
          </rPr>
          <t>site and orientation for existing renewable projects will be looked up in import_data.py</t>
        </r>
      </text>
    </comment>
    <comment ref="H60" authorId="0" shapeId="0" xr:uid="{00000000-0006-0000-0000-00003B000000}">
      <text>
        <r>
          <rPr>
            <sz val="9"/>
            <color rgb="FF000000"/>
            <rFont val="Calibri"/>
            <family val="2"/>
          </rPr>
          <t>set equal to 2016 cost in NREL Advanced Technology Baseline (see "PSIP 2016-12 and ATB 2018 generator data.xlsx")</t>
        </r>
      </text>
    </comment>
    <comment ref="J60" authorId="0" shapeId="0" xr:uid="{00000000-0006-0000-0000-00003C000000}">
      <text>
        <r>
          <rPr>
            <sz val="9"/>
            <color indexed="81"/>
            <rFont val="Calibri"/>
            <family val="2"/>
          </rPr>
          <t>location from EIA form 860M database (September 2016)</t>
        </r>
      </text>
    </comment>
    <comment ref="C61" authorId="0" shapeId="0" xr:uid="{00000000-0006-0000-0000-00003D000000}">
      <text>
        <r>
          <rPr>
            <sz val="9"/>
            <color rgb="FF000000"/>
            <rFont val="Calibri"/>
            <family val="2"/>
          </rPr>
          <t>Waianae Solar (Eurus) from PSIP 2016-04-01; matched to specific project with query below</t>
        </r>
      </text>
    </comment>
    <comment ref="D61" authorId="0" shapeId="0" xr:uid="{00000000-0006-0000-0000-00003E000000}">
      <text>
        <r>
          <rPr>
            <sz val="9"/>
            <color indexed="81"/>
            <rFont val="Calibri"/>
            <family val="2"/>
          </rPr>
          <t>site and orientation for existing renewable projects will be looked up in import_data.py</t>
        </r>
      </text>
    </comment>
    <comment ref="E61" authorId="0" shapeId="0" xr:uid="{00000000-0006-0000-0000-00003F000000}">
      <text>
        <r>
          <rPr>
            <sz val="9"/>
            <color indexed="81"/>
            <rFont val="Calibri"/>
            <family val="2"/>
          </rPr>
          <t>site and orientation for existing renewable projects will be looked up in import_data.py</t>
        </r>
      </text>
    </comment>
    <comment ref="H61" authorId="0" shapeId="0" xr:uid="{C90B2DCE-E7E6-254E-8CDB-9B7CACE6C1DE}">
      <text>
        <r>
          <rPr>
            <sz val="9"/>
            <color rgb="FF000000"/>
            <rFont val="Calibri"/>
            <family val="2"/>
          </rPr>
          <t>set equal to 2016 cost in NREL Advanced Technology Baseline (see "PSIP 2016-12 and ATB 2018 generator data.xlsx")</t>
        </r>
      </text>
    </comment>
    <comment ref="J61" authorId="0" shapeId="0" xr:uid="{00000000-0006-0000-0000-000040000000}">
      <text>
        <r>
          <rPr>
            <sz val="9"/>
            <color indexed="81"/>
            <rFont val="Calibri"/>
            <family val="2"/>
          </rPr>
          <t>Mauka of Kamaile academy according to http://eurusenergy.com/news/press-releases/eurus-energy-america/waianae-solar-project-construction-financing/</t>
        </r>
      </text>
    </comment>
    <comment ref="G62" authorId="0" shapeId="0" xr:uid="{00000000-0006-0000-0000-000041000000}">
      <text>
        <r>
          <rPr>
            <sz val="9"/>
            <color rgb="FF000000"/>
            <rFont val="Calibri"/>
            <family val="2"/>
          </rPr>
          <t>444 MW DistPV installed by 2016 according to PSIP 2016-04-01 Figure J-19; we apportion between flat and sloped roofs based on the shares shown for Oahu in Google Sunroof data (see top of solar_resources.py).</t>
        </r>
      </text>
    </comment>
    <comment ref="H62" authorId="0" shapeId="0" xr:uid="{322940FC-3AD2-A949-BA1C-BCEC21C807B9}">
      <text>
        <r>
          <rPr>
            <sz val="9"/>
            <color rgb="FF000000"/>
            <rFont val="Calibri"/>
            <family val="2"/>
          </rPr>
          <t>set equal to 2016 cost in NREL Advanced Technology Baseline (see "PSIP 2016-12 and ATB 2018 generator data.xlsx")</t>
        </r>
      </text>
    </comment>
    <comment ref="G63" authorId="0" shapeId="0" xr:uid="{085B78AA-87F4-2B48-A2DB-A461BA4697DE}">
      <text>
        <r>
          <rPr>
            <sz val="9"/>
            <color rgb="FF000000"/>
            <rFont val="Calibri"/>
            <family val="2"/>
          </rPr>
          <t>444 MW DistPV installed by 2016 according to PSIP 2016-04-01 Figure J-19; we apportion between flat and sloped roofs based on the shares shown for Oahu in Google Sunroof data (see top of solar_resources.py).</t>
        </r>
      </text>
    </comment>
    <comment ref="H63" authorId="0" shapeId="0" xr:uid="{2E126412-814E-9F4B-8C61-8A5B9D553628}">
      <text>
        <r>
          <rPr>
            <sz val="9"/>
            <color rgb="FF000000"/>
            <rFont val="Calibri"/>
            <family val="2"/>
          </rPr>
          <t>set equal to 2016 cost in NREL Advanced Technology Baseline (see "PSIP 2016-12 and ATB 2018 generator data.xlsx")</t>
        </r>
      </text>
    </comment>
    <comment ref="C64" authorId="0" shapeId="0" xr:uid="{00000000-0006-0000-0000-000042000000}">
      <text>
        <r>
          <rPr>
            <sz val="9"/>
            <color rgb="FF000000"/>
            <rFont val="Calibri"/>
            <family val="2"/>
          </rPr>
          <t>profile copied from PSIP 2016-12 generator and storage data.xlsx</t>
        </r>
      </text>
    </comment>
    <comment ref="C65" authorId="0" shapeId="0" xr:uid="{00000000-0006-0000-0000-000043000000}">
      <text>
        <r>
          <rPr>
            <sz val="9"/>
            <color rgb="FF000000"/>
            <rFont val="Calibri"/>
            <family val="2"/>
          </rPr>
          <t>Kawailoa Solar, formerly SunEdison project</t>
        </r>
      </text>
    </comment>
    <comment ref="F65" authorId="0" shapeId="0" xr:uid="{1C1E80B6-F104-9344-8D1C-388BFBD24221}">
      <text>
        <r>
          <rPr>
            <sz val="10"/>
            <color rgb="FF000000"/>
            <rFont val="Tahoma"/>
            <family val="2"/>
          </rPr>
          <t xml:space="preserve">from https://www.hawaiianelectric.com/clean-energy-hawaii/our-clean-energy-portfolio/renewable-project-status-board </t>
        </r>
      </text>
    </comment>
    <comment ref="J65" authorId="0" shapeId="0" xr:uid="{00000000-0006-0000-0000-000044000000}">
      <text>
        <r>
          <rPr>
            <sz val="9"/>
            <color indexed="81"/>
            <rFont val="Calibri"/>
            <family val="2"/>
          </rPr>
          <t>From xx (view source for map marker)</t>
        </r>
      </text>
    </comment>
    <comment ref="C66" authorId="0" shapeId="0" xr:uid="{00000000-0006-0000-0000-000045000000}">
      <text>
        <r>
          <rPr>
            <sz val="9"/>
            <color rgb="FF000000"/>
            <rFont val="Calibri"/>
            <family val="2"/>
          </rPr>
          <t>Lanikuhana Solar (Mililani Solar), formerly SunEdison</t>
        </r>
      </text>
    </comment>
    <comment ref="F66" authorId="0" shapeId="0" xr:uid="{8DB67E3A-51EC-834C-B191-32ACDD48BC49}">
      <text>
        <r>
          <rPr>
            <sz val="10"/>
            <color rgb="FF000000"/>
            <rFont val="Tahoma"/>
            <family val="2"/>
          </rPr>
          <t xml:space="preserve">from https://www.hawaiianelectric.com/clean-energy-hawaii/our-clean-energy-portfolio/renewable-project-status-board </t>
        </r>
      </text>
    </comment>
    <comment ref="J66" authorId="0" shapeId="0" xr:uid="{00000000-0006-0000-0000-000046000000}">
      <text>
        <r>
          <rPr>
            <sz val="9"/>
            <color rgb="FF000000"/>
            <rFont val="Calibri"/>
            <family val="2"/>
          </rPr>
          <t>from page source of http://energy.ehawaii.gov/epd/public/energy-project-details.html?rid=f1-3b2df53a54d8c6d3</t>
        </r>
      </text>
    </comment>
    <comment ref="C67" authorId="0" shapeId="0" xr:uid="{00000000-0006-0000-0000-000047000000}">
      <text>
        <r>
          <rPr>
            <sz val="9"/>
            <color rgb="FF000000"/>
            <rFont val="Calibri"/>
            <family val="2"/>
          </rPr>
          <t>Waipio (Waiawa) PV, formerly SunEdison</t>
        </r>
      </text>
    </comment>
    <comment ref="F67" authorId="0" shapeId="0" xr:uid="{E8279636-6FAF-1D4F-974B-FA48298F4FA3}">
      <text>
        <r>
          <rPr>
            <sz val="10"/>
            <color rgb="FF000000"/>
            <rFont val="Tahoma"/>
            <family val="2"/>
          </rPr>
          <t xml:space="preserve">from https://www.hawaiianelectric.com/clean-energy-hawaii/our-clean-energy-portfolio/renewable-project-status-board </t>
        </r>
      </text>
    </comment>
    <comment ref="J67" authorId="0" shapeId="0" xr:uid="{00000000-0006-0000-0000-000048000000}">
      <text>
        <r>
          <rPr>
            <sz val="9"/>
            <color indexed="81"/>
            <rFont val="Calibri"/>
            <family val="2"/>
          </rPr>
          <t>from page source of http://energy.ehawaii.gov/epd/public/energy-project-details.html?rid=f7-3f29f31d354cf91d</t>
        </r>
      </text>
    </comment>
    <comment ref="C68" authorId="0" shapeId="0" xr:uid="{00000000-0006-0000-0000-000049000000}">
      <text>
        <r>
          <rPr>
            <sz val="9"/>
            <color rgb="FF000000"/>
            <rFont val="Calibri"/>
            <family val="2"/>
          </rPr>
          <t>West Loch PV</t>
        </r>
      </text>
    </comment>
    <comment ref="F68" authorId="0" shapeId="0" xr:uid="{00000000-0006-0000-0000-00004A000000}">
      <text>
        <r>
          <rPr>
            <sz val="9"/>
            <color rgb="FF000000"/>
            <rFont val="Calibri"/>
            <family val="2"/>
          </rPr>
          <t xml:space="preserve">Seems like half of it came online in 2017 (or maybe it was some other project at JBPHH?), and all of it was expected to be online in 2018. See https://www.bizjournals.com/pacific/news/2017/04/28/navy-launches-operations-of-pearl-harbor-solar.html and https://dailyenergyinsider.com/news/10294-hawaiian-electric-companies-reports-100-megawatts-solar-installed-across-service-territories-2017/
</t>
        </r>
        <r>
          <rPr>
            <sz val="9"/>
            <color rgb="FF000000"/>
            <rFont val="Calibri"/>
            <family val="2"/>
          </rPr>
          <t xml:space="preserve">
</t>
        </r>
        <r>
          <rPr>
            <sz val="9"/>
            <color rgb="FF000000"/>
            <rFont val="Calibri"/>
            <family val="2"/>
          </rPr>
          <t>But according to https://www.hawaiianelectric.com/clean-energy-hawaii/our-clean-energy-portfolio/renewable-project-status-board (accessed 10/22/19) it will be online in 2019.</t>
        </r>
      </text>
    </comment>
    <comment ref="G68" authorId="0" shapeId="0" xr:uid="{00000000-0006-0000-0000-00004B000000}">
      <text>
        <r>
          <rPr>
            <sz val="9"/>
            <color rgb="FF000000"/>
            <rFont val="Calibri"/>
            <family val="2"/>
          </rPr>
          <t xml:space="preserve">This is 28 MW DC, 20 MW AC. See PSIP 2016-12-23 and these links: 
</t>
        </r>
        <r>
          <rPr>
            <sz val="9"/>
            <color rgb="FF000000"/>
            <rFont val="Calibri"/>
            <family val="2"/>
          </rPr>
          <t xml:space="preserve">https://www.hawaiianelectric.com/navy-hawaiian-electric-plan-large-solar-project-on-joint-base-pearl-harbor-hickam (most authoritative)
</t>
        </r>
        <r>
          <rPr>
            <sz val="9"/>
            <color rgb="FF000000"/>
            <rFont val="Calibri"/>
            <family val="2"/>
          </rPr>
          <t xml:space="preserve">https://dailyenergyinsider.com/news/10294-hawaiian-electric-companies-reports-100-megawatts-solar-installed-across-service-territories-2017/
</t>
        </r>
        <r>
          <rPr>
            <sz val="9"/>
            <color rgb="FF000000"/>
            <rFont val="Calibri"/>
            <family val="2"/>
          </rPr>
          <t xml:space="preserve">http://greenfleet.dodlive.mil/files/2016/09/JB-Pearl-Harbor-Hickam-Factsheet.pdf
</t>
        </r>
        <r>
          <rPr>
            <sz val="9"/>
            <color rgb="FF000000"/>
            <rFont val="Calibri"/>
            <family val="2"/>
          </rPr>
          <t xml:space="preserve">https://www.bizjournals.com/pacific/news/2017/04/28/navy-launches-operations-of-pearl-harbor-solar.html
</t>
        </r>
      </text>
    </comment>
    <comment ref="J68" authorId="0" shapeId="0" xr:uid="{00000000-0006-0000-0000-00004C000000}">
      <text>
        <r>
          <rPr>
            <sz val="9"/>
            <color indexed="81"/>
            <rFont val="Calibri"/>
            <family val="2"/>
          </rPr>
          <t>from Pearl Harbor Hickam Solar Project fact sheet at http://greenfleet.dodlive.mil/files/2016/09/JB-Pearl-Harbor-Hickam-Factsheet.pdf</t>
        </r>
      </text>
    </comment>
    <comment ref="C75" authorId="0" shapeId="0" xr:uid="{00000000-0006-0000-0000-00004D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B76" authorId="0" shapeId="0" xr:uid="{00000000-0006-0000-0000-00004E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C76" authorId="0" shapeId="0" xr:uid="{00000000-0006-0000-0000-00004F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B77" authorId="0" shapeId="0" xr:uid="{00000000-0006-0000-0000-000050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C77" authorId="0" shapeId="0" xr:uid="{00000000-0006-0000-0000-000051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B78" authorId="0" shapeId="0" xr:uid="{00000000-0006-0000-0000-000052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C78" authorId="0" shapeId="0" xr:uid="{00000000-0006-0000-0000-000053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B79" authorId="0" shapeId="0" xr:uid="{00000000-0006-0000-0000-000054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C79" authorId="0" shapeId="0" xr:uid="{00000000-0006-0000-0000-000055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B80" authorId="0" shapeId="0" xr:uid="{00000000-0006-0000-0000-000056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C80" authorId="0" shapeId="0" xr:uid="{00000000-0006-0000-0000-000057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B81" authorId="0" shapeId="0" xr:uid="{00000000-0006-0000-0000-000058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C81" authorId="0" shapeId="0" xr:uid="{00000000-0006-0000-0000-000059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B82" authorId="0" shapeId="0" xr:uid="{00000000-0006-0000-0000-00005A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C82" authorId="0" shapeId="0" xr:uid="{00000000-0006-0000-0000-00005B000000}">
      <text>
        <r>
          <rPr>
            <sz val="9"/>
            <color indexed="81"/>
            <rFont val="Calibri"/>
            <family val="2"/>
          </rPr>
          <t>from data/HECO Plans/PSIP-WebDAV/2017-01-31 Response to Parties IRs/CA-IR-1/Input and Output Files by Case/E3 and Company Defined Cases/Market DGPV (Reference)/OA_NOLNG/planned_installed_capacities.tab</t>
        </r>
      </text>
    </comment>
    <comment ref="A143" authorId="0" shapeId="0" xr:uid="{00000000-0006-0000-0000-00005C000000}">
      <text>
        <r>
          <rPr>
            <sz val="9"/>
            <color indexed="81"/>
            <rFont val="Calibri"/>
            <family val="2"/>
          </rPr>
          <t>444 MW DistPV installed by 2016 according to PSIP 2016-04-01 Figure J-19</t>
        </r>
      </text>
    </comment>
  </commentList>
</comments>
</file>

<file path=xl/sharedStrings.xml><?xml version="1.0" encoding="utf-8"?>
<sst xmlns="http://schemas.openxmlformats.org/spreadsheetml/2006/main" count="295" uniqueCount="143">
  <si>
    <t>intermittent</t>
  </si>
  <si>
    <t>resource_limited</t>
  </si>
  <si>
    <t>distributed</t>
  </si>
  <si>
    <t>CentralTrackingPV</t>
  </si>
  <si>
    <t>LSFO</t>
  </si>
  <si>
    <t>AES</t>
  </si>
  <si>
    <t>CIP_CT</t>
  </si>
  <si>
    <t>Airport_DSG</t>
  </si>
  <si>
    <t>H-Power</t>
  </si>
  <si>
    <t>proj_overnight_cost</t>
  </si>
  <si>
    <t>proj_fixed_om</t>
  </si>
  <si>
    <t>Power Points (MW)</t>
  </si>
  <si>
    <t>Incremental Heat Rate (Btu/kWh)</t>
  </si>
  <si>
    <t>Variable Cost</t>
  </si>
  <si>
    <t>Outages</t>
  </si>
  <si>
    <t>Fuel</t>
  </si>
  <si>
    <t>Fuel Consumption (MMBTU/hour)</t>
  </si>
  <si>
    <t>Plant</t>
  </si>
  <si>
    <t>Full Load Heat Rate (Btu/kWh)</t>
  </si>
  <si>
    <t>Min</t>
  </si>
  <si>
    <t>Max</t>
  </si>
  <si>
    <t>Variable O&amp;M ($/mwH)</t>
  </si>
  <si>
    <t>Variable Cost ($/Hour)</t>
  </si>
  <si>
    <t>FOR %</t>
  </si>
  <si>
    <t>min-&gt;2</t>
  </si>
  <si>
    <t>2-&gt;3</t>
  </si>
  <si>
    <t>3-&gt;4</t>
  </si>
  <si>
    <t>4-&gt;max</t>
  </si>
  <si>
    <t>H8</t>
  </si>
  <si>
    <t>H9</t>
  </si>
  <si>
    <t>W3</t>
  </si>
  <si>
    <t>W4</t>
  </si>
  <si>
    <t>W5</t>
  </si>
  <si>
    <t>W6</t>
  </si>
  <si>
    <t>W7</t>
  </si>
  <si>
    <t>W8</t>
  </si>
  <si>
    <t>W9</t>
  </si>
  <si>
    <t>Diesel</t>
  </si>
  <si>
    <t>W10</t>
  </si>
  <si>
    <t>K1</t>
  </si>
  <si>
    <t>K2</t>
  </si>
  <si>
    <t>K3</t>
  </si>
  <si>
    <t>K4</t>
  </si>
  <si>
    <t>K5</t>
  </si>
  <si>
    <t>K6</t>
  </si>
  <si>
    <t>Kal1</t>
  </si>
  <si>
    <t>Kal2</t>
  </si>
  <si>
    <t>Kal3</t>
  </si>
  <si>
    <t>Coal</t>
  </si>
  <si>
    <t>HPOWER</t>
  </si>
  <si>
    <t>CIP-CT1</t>
  </si>
  <si>
    <t>Biodiesel</t>
  </si>
  <si>
    <t>AiportDG</t>
  </si>
  <si>
    <t>Data from HSIS Appendix A, http://www.hnei.hawaii.edu/sites/www.hnei.hawaii.edu/files/Hawaii%20Solar%20Integration%20Study%20-%20Oahu.pdf</t>
  </si>
  <si>
    <t>retirement year</t>
  </si>
  <si>
    <t>MSW</t>
  </si>
  <si>
    <t>fill in capital costs for all plants (use original cost, converted to 2016$; this reflects the fact that payments escalate with inflation in switch)</t>
  </si>
  <si>
    <t>Fuel Input @ Min Power (MMBtu)</t>
  </si>
  <si>
    <t>get better fixed and variable O&amp;M for all plants</t>
  </si>
  <si>
    <t>Full load heat rate (calculated)</t>
  </si>
  <si>
    <t>Err</t>
  </si>
  <si>
    <t>limit Airport DSG to 1500 hours/year</t>
  </si>
  <si>
    <t>Notes:</t>
  </si>
  <si>
    <t>Honua was removed because the company behind it went bankrupt in Feb. 2016 without completing the project. see:</t>
  </si>
  <si>
    <t>Star-Advertiser "Pulling the Plug", 2016-02-08, http://www.pressreader.com/usa/honolulu-star-advertiser/20160208/281848642645296</t>
  </si>
  <si>
    <t>http://www.ct-si.org/events/APCE2011/sld/pdf/9.pdf</t>
  </si>
  <si>
    <t>http://oeqc.doh.hawaii.gov/Shared%20Documents/EA_and_EIS_Online_Library/Oahu/2010s/2010-04-08-OA-FEA-Honua-Power.pdf</t>
  </si>
  <si>
    <t>add Chevron cogen plant (G1-G3 built in 1990, G4 built in 2011; assume 61-year life)</t>
  </si>
  <si>
    <t>add Tesoro cogen plant (built in 1983; assume 61-year life)</t>
  </si>
  <si>
    <t>In Ulupono scenarios, switch wind and solar to 35-year life to avoid retirement and replacement by 2045</t>
  </si>
  <si>
    <t>TODO later:</t>
  </si>
  <si>
    <t>allow specification of O&amp;M per hour (based on commitment), rather than just per MWh (based on dispatch)</t>
  </si>
  <si>
    <t>note: project build data will get stored in one built_project table,but scenario_data.py will extract it into proj_existing_builds.tab and proj_build_costs.tab</t>
  </si>
  <si>
    <t>PP</t>
  </si>
  <si>
    <t>FC</t>
  </si>
  <si>
    <t>IHR</t>
  </si>
  <si>
    <t>latitude</t>
  </si>
  <si>
    <t>longitude</t>
  </si>
  <si>
    <t>technology</t>
  </si>
  <si>
    <t>unit_size</t>
  </si>
  <si>
    <t>load_zone</t>
  </si>
  <si>
    <t>Oahu</t>
  </si>
  <si>
    <t>proj_existing_cap</t>
  </si>
  <si>
    <t>build_year</t>
  </si>
  <si>
    <t>financial base year</t>
  </si>
  <si>
    <t>OnshoreWind</t>
  </si>
  <si>
    <t>convert batteries, hydrogen, evs? and fuel market expansion into projects with side constraints imposed by modules</t>
  </si>
  <si>
    <t>create flag for cost-only projects (not committed/dispatched, just built/retired)</t>
  </si>
  <si>
    <t>baseload</t>
  </si>
  <si>
    <t>cogen</t>
  </si>
  <si>
    <t>must_run</t>
  </si>
  <si>
    <t>non_cycling</t>
  </si>
  <si>
    <t>allow users to specify a "greenfield" model, omitting all previous builds (in scenario_data.py)</t>
  </si>
  <si>
    <t>add code to support non_cycling flag in switch unit commitment</t>
  </si>
  <si>
    <t>scheduled_outage_rate</t>
  </si>
  <si>
    <t>TODO:</t>
  </si>
  <si>
    <t xml:space="preserve"> jdfvbkmnjjjuhjuhnbvcxzp,lmpn/////[</t>
  </si>
  <si>
    <t>.,?"P}o?P&lt;K?"&lt;K?"op]k?"PKOP']/K&lt;"}|OPKPO"}&lt;K?"KL,l?"LK?"K&lt;"&gt;K?"&gt;L</t>
  </si>
  <si>
    <t xml:space="preserve"> </t>
  </si>
  <si>
    <t>site</t>
  </si>
  <si>
    <t>orientation</t>
  </si>
  <si>
    <t>na</t>
  </si>
  <si>
    <t>forced_outage_rate</t>
  </si>
  <si>
    <t>variable_o_m</t>
  </si>
  <si>
    <t>heat_rate</t>
  </si>
  <si>
    <t>fuel</t>
  </si>
  <si>
    <t>define multiple speeds of regulating reserve product, with separate targets at each speed (to account for renewable mis-forecast)</t>
  </si>
  <si>
    <t>(we don't define a contingency reserve product for extreme misforecasts, because it is hard to bound the quantity, and it can be a slow-start product (not instant-start), and most likely it would be addressed by rolling blackouts, not dipping into n-1 reserves)</t>
  </si>
  <si>
    <t>report reserves provided by each source</t>
  </si>
  <si>
    <t>include pumped storage in reserve requirements and provision</t>
  </si>
  <si>
    <t>gen_install_plan</t>
  </si>
  <si>
    <t>existing</t>
  </si>
  <si>
    <t>IC_Schofield</t>
  </si>
  <si>
    <t>TODO: convert LoadShiftBattery to some standard tech (check what HECO assumed)</t>
  </si>
  <si>
    <t>TODO: no reserves from LoadShiftBattery in PSIP?</t>
  </si>
  <si>
    <t>TODO: any contingency or regulation battery in PSIP?</t>
  </si>
  <si>
    <t>TODO: allow central PV and wind without lat lon specified (just require a certain total amount from any appropriate project)</t>
  </si>
  <si>
    <t>TODO: make sure import code can handle multiple batches of the same technology in the same year, with or without different locations (or none at all)</t>
  </si>
  <si>
    <t>TODO: switch to using 4-hour and 6-hour batteries, and fix up LoadShiftBattery</t>
  </si>
  <si>
    <t>TODO: add project size and cap factors for West Loch PV (on Pearl Harbor land) (eventually; can use nearest ag land solar for now)</t>
  </si>
  <si>
    <t>non-controllable</t>
  </si>
  <si>
    <t>controllable</t>
  </si>
  <si>
    <t>total level</t>
  </si>
  <si>
    <t>retirements</t>
  </si>
  <si>
    <t>additions</t>
  </si>
  <si>
    <t>year</t>
  </si>
  <si>
    <t>TODO: re-import HECO generator info with 20 year life for renewables</t>
  </si>
  <si>
    <t>Note: horizontal block (technology_info) describes existing thermal technologies to add to technology and project tables (one-to-one); vertical block (build_info) describes build dates for those projects and others defined in PSIP workbook (costs should be provided if build date is earlier than costs in PSIP workbook)</t>
  </si>
  <si>
    <t>All-islandPV level forecast from H-1 of PSIP 2016-12-23 and xx</t>
  </si>
  <si>
    <t>see p. 3-8 of PSIP 2016-12-23 vol. 1. for 20-year life and discussion of reconstruction at retirement (focused on utility-scale, but we assume it applies to DG; also Resolve applied these as set levels).</t>
  </si>
  <si>
    <t>optional replacements at retirement (pasted into PSIP module)</t>
  </si>
  <si>
    <t>Note: any values specified here set upper and lower bounds on construction in that year; this will lock in a building plan if applied during the study period.</t>
  </si>
  <si>
    <t>Oahu DistPV construction calculations, assuming 20-year life</t>
  </si>
  <si>
    <t>TODO: add gen_install_plan to scenario_data (default is "existing"); then we can include PSIP_DistPV to follow the forecast or exclude it to allow free selection of PV</t>
  </si>
  <si>
    <t>DistPV installations</t>
  </si>
  <si>
    <t>Approx. Oahu PV level from Figure J-10 of 2016-12-23 PSIP (excl FIT(?))</t>
  </si>
  <si>
    <t>Note: the rows below are unused; these were moved back into the PSIP module.</t>
  </si>
  <si>
    <t>startup_energy</t>
  </si>
  <si>
    <t>min_uptime</t>
  </si>
  <si>
    <t>min_downtime</t>
  </si>
  <si>
    <t>SlopedDistPV</t>
  </si>
  <si>
    <t>FlatDistPV</t>
  </si>
  <si>
    <t>substation_cost_per_kw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</si>
</sst>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2"/>
      <color theme="1"/>
      <name val="Calibri"/>
      <family val="2"/>
      <scheme val="minor"/>
    </font>
    <font>
      <b/>
      <sz val="12"/>
      <color theme="1"/>
      <name val="Calibri"/>
      <family val="2"/>
      <scheme val="minor"/>
    </font>
    <font>
      <sz val="9"/>
      <color indexed="81"/>
      <name val="Calibri"/>
      <family val="2"/>
    </font>
    <font>
      <u/>
      <sz val="12"/>
      <color theme="10"/>
      <name val="Calibri"/>
      <family val="2"/>
      <scheme val="minor"/>
    </font>
    <font>
      <u/>
      <sz val="12"/>
      <color theme="11"/>
      <name val="Calibri"/>
      <family val="2"/>
      <scheme val="minor"/>
    </font>
    <font>
      <sz val="11"/>
      <color theme="1"/>
      <name val="Calibri"/>
      <family val="2"/>
      <scheme val="minor"/>
    </font>
    <font>
      <sz val="12"/>
      <color rgb="FF000000"/>
      <name val="Calibri"/>
      <family val="2"/>
      <scheme val="minor"/>
    </font>
    <font>
      <i/>
      <sz val="12"/>
      <color theme="1"/>
      <name val="Calibri"/>
      <family val="2"/>
      <scheme val="minor"/>
    </font>
    <font>
      <sz val="9"/>
      <color rgb="FF000000"/>
      <name val="Calibri"/>
      <family val="2"/>
    </font>
    <font>
      <sz val="10"/>
      <color rgb="FF000000"/>
      <name val="Tahoma"/>
      <family val="2"/>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7">
    <xf numFmtId="0" fontId="0" fillId="0" borderId="0" xfId="0"/>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3" fontId="0" fillId="0" borderId="1" xfId="0" applyNumberFormat="1" applyBorder="1" applyAlignment="1">
      <alignment vertical="center"/>
    </xf>
    <xf numFmtId="10" fontId="0" fillId="0" borderId="1" xfId="0" applyNumberFormat="1" applyBorder="1" applyAlignment="1">
      <alignment vertical="center"/>
    </xf>
    <xf numFmtId="0" fontId="0" fillId="0" borderId="1" xfId="0" applyBorder="1"/>
    <xf numFmtId="3" fontId="0" fillId="0" borderId="1" xfId="0" applyNumberFormat="1" applyBorder="1"/>
    <xf numFmtId="9" fontId="0" fillId="0" borderId="1" xfId="0" applyNumberFormat="1" applyBorder="1"/>
    <xf numFmtId="0" fontId="0" fillId="0" borderId="1" xfId="0" applyBorder="1" applyAlignment="1">
      <alignment horizontal="left" vertical="center" wrapText="1"/>
    </xf>
    <xf numFmtId="0" fontId="0" fillId="0" borderId="2" xfId="0" applyBorder="1" applyAlignment="1">
      <alignment horizontal="right" wrapText="1"/>
    </xf>
    <xf numFmtId="0" fontId="0" fillId="0" borderId="1" xfId="0" applyBorder="1" applyAlignment="1">
      <alignment horizontal="right" wrapText="1"/>
    </xf>
    <xf numFmtId="10" fontId="0" fillId="0" borderId="2" xfId="0" applyNumberFormat="1" applyBorder="1" applyAlignment="1">
      <alignment horizontal="right" wrapText="1"/>
    </xf>
    <xf numFmtId="0" fontId="0" fillId="0" borderId="1" xfId="0" applyBorder="1" applyAlignment="1"/>
    <xf numFmtId="9" fontId="0" fillId="0" borderId="1" xfId="0" applyNumberFormat="1" applyBorder="1" applyAlignment="1"/>
    <xf numFmtId="0" fontId="5" fillId="0" borderId="1" xfId="0" applyFont="1" applyBorder="1" applyAlignment="1">
      <alignment vertical="center"/>
    </xf>
    <xf numFmtId="3" fontId="5" fillId="0" borderId="1" xfId="0" applyNumberFormat="1" applyFont="1" applyBorder="1" applyAlignment="1">
      <alignment vertical="center"/>
    </xf>
    <xf numFmtId="0" fontId="1" fillId="0" borderId="0" xfId="0" applyFont="1"/>
    <xf numFmtId="164" fontId="0" fillId="0" borderId="0" xfId="0" applyNumberFormat="1"/>
    <xf numFmtId="0" fontId="6" fillId="0" borderId="0" xfId="0" applyFont="1"/>
    <xf numFmtId="0" fontId="0" fillId="0" borderId="0" xfId="0" applyFont="1"/>
    <xf numFmtId="0" fontId="0" fillId="0" borderId="0" xfId="0" applyBorder="1"/>
    <xf numFmtId="3" fontId="0" fillId="0" borderId="0" xfId="0" applyNumberFormat="1" applyBorder="1"/>
    <xf numFmtId="0" fontId="0" fillId="0" borderId="0" xfId="0" applyBorder="1" applyAlignment="1">
      <alignment horizontal="center" vertical="center"/>
    </xf>
    <xf numFmtId="9" fontId="0" fillId="0" borderId="0" xfId="0" applyNumberFormat="1" applyBorder="1"/>
    <xf numFmtId="0" fontId="7" fillId="0" borderId="0" xfId="0" applyFont="1"/>
    <xf numFmtId="0" fontId="0" fillId="0" borderId="0" xfId="0" quotePrefix="1"/>
    <xf numFmtId="0" fontId="7" fillId="0" borderId="0" xfId="0" quotePrefix="1" applyFont="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3" fontId="0" fillId="0" borderId="0" xfId="0" applyNumberFormat="1"/>
    <xf numFmtId="0" fontId="0" fillId="0" borderId="0" xfId="0" applyAlignment="1">
      <alignment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cellXfs>
  <cellStyles count="5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linear"/>
            <c:dispRSqr val="1"/>
            <c:dispEq val="1"/>
            <c:trendlineLbl>
              <c:layout>
                <c:manualLayout>
                  <c:x val="-0.17995844269466299"/>
                  <c:y val="-6.3691673957421993E-2"/>
                </c:manualLayout>
              </c:layout>
              <c:numFmt formatCode="General" sourceLinked="0"/>
            </c:trendlineLbl>
          </c:trendline>
          <c:xVal>
            <c:numRef>
              <c:f>'technologies and projects'!$F$24:$J$24</c:f>
              <c:numCache>
                <c:formatCode>General</c:formatCode>
                <c:ptCount val="5"/>
                <c:pt idx="0">
                  <c:v>67</c:v>
                </c:pt>
                <c:pt idx="1">
                  <c:v>72.8</c:v>
                </c:pt>
                <c:pt idx="2">
                  <c:v>78.5</c:v>
                </c:pt>
                <c:pt idx="3">
                  <c:v>84.3</c:v>
                </c:pt>
                <c:pt idx="4">
                  <c:v>90</c:v>
                </c:pt>
              </c:numCache>
            </c:numRef>
          </c:xVal>
          <c:yVal>
            <c:numRef>
              <c:f>'technologies and projects'!$S$24:$W$24</c:f>
              <c:numCache>
                <c:formatCode>General</c:formatCode>
                <c:ptCount val="5"/>
                <c:pt idx="0">
                  <c:v>637.29999999999995</c:v>
                </c:pt>
                <c:pt idx="1">
                  <c:v>670.50499999999988</c:v>
                </c:pt>
                <c:pt idx="2">
                  <c:v>703.74739999999986</c:v>
                </c:pt>
                <c:pt idx="3">
                  <c:v>738.19359999999983</c:v>
                </c:pt>
                <c:pt idx="4">
                  <c:v>772.66149999999982</c:v>
                </c:pt>
              </c:numCache>
            </c:numRef>
          </c:yVal>
          <c:smooth val="0"/>
          <c:extLst>
            <c:ext xmlns:c16="http://schemas.microsoft.com/office/drawing/2014/chart" uri="{C3380CC4-5D6E-409C-BE32-E72D297353CC}">
              <c16:uniqueId val="{00000001-A47E-9541-AA0E-406D714AEEF2}"/>
            </c:ext>
          </c:extLst>
        </c:ser>
        <c:dLbls>
          <c:showLegendKey val="0"/>
          <c:showVal val="0"/>
          <c:showCatName val="0"/>
          <c:showSerName val="0"/>
          <c:showPercent val="0"/>
          <c:showBubbleSize val="0"/>
        </c:dLbls>
        <c:axId val="-2028438632"/>
        <c:axId val="-2069722360"/>
      </c:scatterChart>
      <c:valAx>
        <c:axId val="-2028438632"/>
        <c:scaling>
          <c:orientation val="minMax"/>
        </c:scaling>
        <c:delete val="0"/>
        <c:axPos val="b"/>
        <c:numFmt formatCode="General" sourceLinked="1"/>
        <c:majorTickMark val="out"/>
        <c:minorTickMark val="none"/>
        <c:tickLblPos val="nextTo"/>
        <c:crossAx val="-2069722360"/>
        <c:crosses val="autoZero"/>
        <c:crossBetween val="midCat"/>
      </c:valAx>
      <c:valAx>
        <c:axId val="-2069722360"/>
        <c:scaling>
          <c:orientation val="minMax"/>
        </c:scaling>
        <c:delete val="0"/>
        <c:axPos val="l"/>
        <c:majorGridlines/>
        <c:numFmt formatCode="General" sourceLinked="1"/>
        <c:majorTickMark val="out"/>
        <c:minorTickMark val="none"/>
        <c:tickLblPos val="nextTo"/>
        <c:crossAx val="-202843863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28</xdr:col>
      <xdr:colOff>406400</xdr:colOff>
      <xdr:row>1</xdr:row>
      <xdr:rowOff>101600</xdr:rowOff>
    </xdr:from>
    <xdr:to>
      <xdr:col>44</xdr:col>
      <xdr:colOff>25986</xdr:colOff>
      <xdr:row>35</xdr:row>
      <xdr:rowOff>28246</xdr:rowOff>
    </xdr:to>
    <xdr:pic>
      <xdr:nvPicPr>
        <xdr:cNvPr id="3" name="Picture 2" descr="Pages from Hawaii Solar Integration Study - Oahu_Page_1_Image_0001.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933400" y="292100"/>
          <a:ext cx="12827586" cy="6594146"/>
        </a:xfrm>
        <a:prstGeom prst="rect">
          <a:avLst/>
        </a:prstGeom>
      </xdr:spPr>
    </xdr:pic>
    <xdr:clientData/>
  </xdr:twoCellAnchor>
  <xdr:twoCellAnchor>
    <xdr:from>
      <xdr:col>32</xdr:col>
      <xdr:colOff>133350</xdr:colOff>
      <xdr:row>33</xdr:row>
      <xdr:rowOff>82550</xdr:rowOff>
    </xdr:from>
    <xdr:to>
      <xdr:col>37</xdr:col>
      <xdr:colOff>577850</xdr:colOff>
      <xdr:row>47</xdr:row>
      <xdr:rowOff>158750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52"/>
  <sheetViews>
    <sheetView tabSelected="1" topLeftCell="A47" workbookViewId="0">
      <pane xSplit="3" topLeftCell="D1" activePane="topRight" state="frozenSplit"/>
      <selection activeCell="A28" sqref="A28"/>
      <selection pane="topRight" activeCell="F68" sqref="F68"/>
    </sheetView>
  </sheetViews>
  <sheetFormatPr baseColWidth="10" defaultRowHeight="16" x14ac:dyDescent="0.2"/>
  <cols>
    <col min="1" max="1" width="11.33203125" customWidth="1"/>
    <col min="2" max="2" width="15.5" customWidth="1"/>
    <col min="3" max="3" width="18.83203125" bestFit="1" customWidth="1"/>
    <col min="4" max="4" width="7.33203125" customWidth="1"/>
    <col min="5" max="6" width="15.5" customWidth="1"/>
    <col min="7" max="10" width="9.83203125" customWidth="1"/>
    <col min="11" max="23" width="15.5" customWidth="1"/>
  </cols>
  <sheetData>
    <row r="1" spans="1:28" x14ac:dyDescent="0.2">
      <c r="A1" t="s">
        <v>84</v>
      </c>
    </row>
    <row r="2" spans="1:28" x14ac:dyDescent="0.2">
      <c r="A2">
        <v>2016</v>
      </c>
    </row>
    <row r="4" spans="1:28" x14ac:dyDescent="0.2">
      <c r="B4" t="s">
        <v>53</v>
      </c>
      <c r="J4" t="s">
        <v>24</v>
      </c>
      <c r="K4" t="s">
        <v>25</v>
      </c>
      <c r="L4" t="s">
        <v>26</v>
      </c>
      <c r="M4" t="s">
        <v>27</v>
      </c>
    </row>
    <row r="5" spans="1:28" x14ac:dyDescent="0.2">
      <c r="F5" s="34" t="s">
        <v>11</v>
      </c>
      <c r="G5" s="35"/>
      <c r="H5" s="35"/>
      <c r="I5" s="35"/>
      <c r="J5" s="36"/>
      <c r="K5" s="34" t="s">
        <v>12</v>
      </c>
      <c r="L5" s="35"/>
      <c r="M5" s="35"/>
      <c r="N5" s="36"/>
      <c r="O5" s="1"/>
      <c r="P5" s="34" t="s">
        <v>13</v>
      </c>
      <c r="Q5" s="36"/>
      <c r="R5" s="1" t="s">
        <v>14</v>
      </c>
      <c r="S5" s="34" t="s">
        <v>16</v>
      </c>
      <c r="T5" s="35"/>
      <c r="U5" s="35"/>
      <c r="V5" s="35"/>
      <c r="W5" s="36"/>
    </row>
    <row r="6" spans="1:28" x14ac:dyDescent="0.2">
      <c r="F6" s="29" t="s">
        <v>73</v>
      </c>
      <c r="G6" s="30" t="s">
        <v>73</v>
      </c>
      <c r="H6" s="30" t="s">
        <v>73</v>
      </c>
      <c r="I6" s="30" t="s">
        <v>73</v>
      </c>
      <c r="J6" s="31" t="s">
        <v>73</v>
      </c>
      <c r="K6" s="29" t="s">
        <v>75</v>
      </c>
      <c r="L6" s="30" t="s">
        <v>75</v>
      </c>
      <c r="M6" s="30" t="s">
        <v>75</v>
      </c>
      <c r="N6" s="31" t="s">
        <v>75</v>
      </c>
      <c r="O6" s="1"/>
      <c r="P6" s="29"/>
      <c r="Q6" s="31"/>
      <c r="R6" s="1"/>
      <c r="S6" s="29" t="s">
        <v>74</v>
      </c>
      <c r="T6" s="30" t="s">
        <v>74</v>
      </c>
      <c r="U6" s="30" t="s">
        <v>74</v>
      </c>
      <c r="V6" s="30" t="s">
        <v>74</v>
      </c>
      <c r="W6" s="31" t="s">
        <v>74</v>
      </c>
    </row>
    <row r="7" spans="1:28" ht="34" x14ac:dyDescent="0.2">
      <c r="B7" s="20" t="s">
        <v>78</v>
      </c>
      <c r="C7" s="1" t="s">
        <v>17</v>
      </c>
      <c r="D7" s="1" t="s">
        <v>15</v>
      </c>
      <c r="E7" s="3" t="s">
        <v>57</v>
      </c>
      <c r="F7" s="1" t="s">
        <v>19</v>
      </c>
      <c r="G7" s="2">
        <v>2</v>
      </c>
      <c r="H7" s="1">
        <v>3</v>
      </c>
      <c r="I7" s="1">
        <v>4</v>
      </c>
      <c r="J7" s="1" t="s">
        <v>20</v>
      </c>
      <c r="K7" s="2">
        <v>1</v>
      </c>
      <c r="L7" s="2">
        <v>2</v>
      </c>
      <c r="M7" s="2">
        <v>3</v>
      </c>
      <c r="N7" s="2">
        <v>4</v>
      </c>
      <c r="O7" s="3" t="s">
        <v>18</v>
      </c>
      <c r="P7" s="3" t="s">
        <v>21</v>
      </c>
      <c r="Q7" s="3" t="s">
        <v>22</v>
      </c>
      <c r="R7" s="2" t="s">
        <v>23</v>
      </c>
      <c r="S7" s="1" t="s">
        <v>19</v>
      </c>
      <c r="T7" s="2">
        <v>2</v>
      </c>
      <c r="U7" s="1">
        <v>3</v>
      </c>
      <c r="V7" s="1">
        <v>4</v>
      </c>
      <c r="W7" s="1" t="s">
        <v>20</v>
      </c>
      <c r="X7" t="s">
        <v>59</v>
      </c>
      <c r="Y7" t="s">
        <v>60</v>
      </c>
    </row>
    <row r="8" spans="1:28" x14ac:dyDescent="0.2">
      <c r="B8" t="str">
        <f>C35</f>
        <v>Honolulu_8</v>
      </c>
      <c r="C8" s="4" t="s">
        <v>28</v>
      </c>
      <c r="D8" s="4" t="s">
        <v>4</v>
      </c>
      <c r="E8" s="4">
        <v>268.39999999999998</v>
      </c>
      <c r="F8" s="4">
        <v>22.3</v>
      </c>
      <c r="G8" s="4">
        <v>30.1</v>
      </c>
      <c r="H8" s="4">
        <v>37.9</v>
      </c>
      <c r="I8" s="4">
        <v>45.6</v>
      </c>
      <c r="J8" s="4">
        <v>53.4</v>
      </c>
      <c r="K8" s="5">
        <v>10579</v>
      </c>
      <c r="L8" s="5">
        <v>10667</v>
      </c>
      <c r="M8" s="5">
        <v>10755</v>
      </c>
      <c r="N8" s="5">
        <v>10843</v>
      </c>
      <c r="O8" s="5">
        <v>11265</v>
      </c>
      <c r="P8" s="4">
        <v>0.32</v>
      </c>
      <c r="Q8" s="1"/>
      <c r="R8" s="6">
        <v>0.151</v>
      </c>
      <c r="S8">
        <f t="shared" ref="S8:S30" si="0">E8</f>
        <v>268.39999999999998</v>
      </c>
      <c r="T8">
        <f>S8+(G8-MAX($F8:F8))*K8/1000</f>
        <v>350.9162</v>
      </c>
      <c r="U8">
        <f>T8+(H8-MAX($F8:G8))*L8/1000</f>
        <v>434.11879999999996</v>
      </c>
      <c r="V8">
        <f>U8+(I8-MAX($F8:H8))*M8/1000</f>
        <v>516.93229999999994</v>
      </c>
      <c r="W8">
        <f>V8+(J8-MAX($F8:I8))*N8/1000</f>
        <v>601.50769999999989</v>
      </c>
      <c r="X8">
        <f t="shared" ref="X8:X30" si="1">W8/M35</f>
        <v>11.264189138576777</v>
      </c>
      <c r="Y8" s="19">
        <f t="shared" ref="Y8:Y30" si="2">X8-O8*0.001</f>
        <v>-8.1086142322384092E-4</v>
      </c>
      <c r="Z8" s="19"/>
      <c r="AA8" s="19"/>
      <c r="AB8" s="19"/>
    </row>
    <row r="9" spans="1:28" x14ac:dyDescent="0.2">
      <c r="B9" t="str">
        <f t="shared" ref="B9:B30" si="3">C36</f>
        <v>Honolulu_9</v>
      </c>
      <c r="C9" s="4" t="s">
        <v>29</v>
      </c>
      <c r="D9" s="4" t="s">
        <v>4</v>
      </c>
      <c r="E9" s="4">
        <v>279.60000000000002</v>
      </c>
      <c r="F9" s="4">
        <v>22.3</v>
      </c>
      <c r="G9" s="4">
        <v>30.3</v>
      </c>
      <c r="H9" s="4">
        <v>38.4</v>
      </c>
      <c r="I9" s="4">
        <v>46.4</v>
      </c>
      <c r="J9" s="4">
        <v>54.4</v>
      </c>
      <c r="K9" s="5">
        <v>10080</v>
      </c>
      <c r="L9" s="5">
        <v>10433</v>
      </c>
      <c r="M9" s="5">
        <v>10785</v>
      </c>
      <c r="N9" s="5">
        <v>11138</v>
      </c>
      <c r="O9" s="5">
        <v>11400</v>
      </c>
      <c r="P9" s="4">
        <v>0.32</v>
      </c>
      <c r="Q9" s="1"/>
      <c r="R9" s="6">
        <v>0.151</v>
      </c>
      <c r="S9">
        <f t="shared" si="0"/>
        <v>279.60000000000002</v>
      </c>
      <c r="T9">
        <f>S9+(G9-MAX($F9:F9))*K9/1000</f>
        <v>360.24</v>
      </c>
      <c r="U9">
        <f>T9+(H9-MAX($F9:G9))*L9/1000</f>
        <v>444.7473</v>
      </c>
      <c r="V9">
        <f>U9+(I9-MAX($F9:H9))*M9/1000</f>
        <v>531.02729999999997</v>
      </c>
      <c r="W9">
        <f>V9+(J9-MAX($F9:I9))*N9/1000</f>
        <v>620.13130000000001</v>
      </c>
      <c r="X9">
        <f t="shared" si="1"/>
        <v>11.399472426470588</v>
      </c>
      <c r="Y9" s="19">
        <f t="shared" si="2"/>
        <v>-5.2757352941235069E-4</v>
      </c>
      <c r="Z9" s="19"/>
      <c r="AA9" s="19"/>
      <c r="AB9" s="19"/>
    </row>
    <row r="10" spans="1:28" x14ac:dyDescent="0.2">
      <c r="B10" t="str">
        <f t="shared" si="3"/>
        <v>Waiau_3</v>
      </c>
      <c r="C10" s="4" t="s">
        <v>30</v>
      </c>
      <c r="D10" s="4" t="s">
        <v>4</v>
      </c>
      <c r="E10" s="4">
        <v>295.5</v>
      </c>
      <c r="F10" s="4">
        <v>22.3</v>
      </c>
      <c r="G10" s="4">
        <v>28.4</v>
      </c>
      <c r="H10" s="4">
        <v>34.5</v>
      </c>
      <c r="I10" s="4">
        <v>40.5</v>
      </c>
      <c r="J10" s="4">
        <v>46.6</v>
      </c>
      <c r="K10" s="5">
        <v>9115</v>
      </c>
      <c r="L10" s="5">
        <v>10150</v>
      </c>
      <c r="M10" s="5">
        <v>11185</v>
      </c>
      <c r="N10" s="5">
        <v>12220</v>
      </c>
      <c r="O10" s="5">
        <v>11904</v>
      </c>
      <c r="P10" s="4">
        <v>0.32</v>
      </c>
      <c r="Q10" s="1"/>
      <c r="R10" s="6">
        <v>0.15</v>
      </c>
      <c r="S10">
        <f t="shared" si="0"/>
        <v>295.5</v>
      </c>
      <c r="T10">
        <f>S10+(G10-MAX($F10:F10))*K10/1000</f>
        <v>351.10149999999999</v>
      </c>
      <c r="U10">
        <f>T10+(H10-MAX($F10:G10))*L10/1000</f>
        <v>413.01650000000001</v>
      </c>
      <c r="V10">
        <f>U10+(I10-MAX($F10:H10))*M10/1000</f>
        <v>480.12650000000002</v>
      </c>
      <c r="W10">
        <f>V10+(J10-MAX($F10:I10))*N10/1000</f>
        <v>554.66849999999999</v>
      </c>
      <c r="X10">
        <f t="shared" si="1"/>
        <v>11.902757510729613</v>
      </c>
      <c r="Y10" s="19">
        <f t="shared" si="2"/>
        <v>-1.2424892703872814E-3</v>
      </c>
      <c r="Z10" s="19"/>
      <c r="AA10" s="19"/>
      <c r="AB10" s="19"/>
    </row>
    <row r="11" spans="1:28" x14ac:dyDescent="0.2">
      <c r="B11" t="str">
        <f t="shared" si="3"/>
        <v>Waiau_4</v>
      </c>
      <c r="C11" s="4" t="s">
        <v>31</v>
      </c>
      <c r="D11" s="4" t="s">
        <v>4</v>
      </c>
      <c r="E11" s="4">
        <v>272.3</v>
      </c>
      <c r="F11" s="4">
        <v>22.3</v>
      </c>
      <c r="G11" s="4">
        <v>28.4</v>
      </c>
      <c r="H11" s="4">
        <v>34.5</v>
      </c>
      <c r="I11" s="4">
        <v>40.5</v>
      </c>
      <c r="J11" s="4">
        <v>46.6</v>
      </c>
      <c r="K11" s="5">
        <v>10904</v>
      </c>
      <c r="L11" s="5">
        <v>11292</v>
      </c>
      <c r="M11" s="5">
        <v>11680</v>
      </c>
      <c r="N11" s="5">
        <v>12068</v>
      </c>
      <c r="O11" s="5">
        <v>11832</v>
      </c>
      <c r="P11" s="4">
        <v>0.32</v>
      </c>
      <c r="Q11" s="1"/>
      <c r="R11" s="6">
        <v>0.12</v>
      </c>
      <c r="S11">
        <f t="shared" si="0"/>
        <v>272.3</v>
      </c>
      <c r="T11">
        <f>S11+(G11-MAX($F11:F11))*K11/1000</f>
        <v>338.81439999999998</v>
      </c>
      <c r="U11">
        <f>T11+(H11-MAX($F11:G11))*L11/1000</f>
        <v>407.69560000000001</v>
      </c>
      <c r="V11">
        <f>U11+(I11-MAX($F11:H11))*M11/1000</f>
        <v>477.7756</v>
      </c>
      <c r="W11">
        <f>V11+(J11-MAX($F11:I11))*N11/1000</f>
        <v>551.3904</v>
      </c>
      <c r="X11">
        <f t="shared" si="1"/>
        <v>11.832412017167382</v>
      </c>
      <c r="Y11" s="19">
        <f t="shared" si="2"/>
        <v>4.1201716738115124E-4</v>
      </c>
      <c r="Z11" s="19"/>
      <c r="AA11" s="19"/>
      <c r="AB11" s="19"/>
    </row>
    <row r="12" spans="1:28" x14ac:dyDescent="0.2">
      <c r="B12" t="str">
        <f t="shared" si="3"/>
        <v>Waiau_5</v>
      </c>
      <c r="C12" s="4" t="s">
        <v>32</v>
      </c>
      <c r="D12" s="4" t="s">
        <v>4</v>
      </c>
      <c r="E12" s="4">
        <v>273.7</v>
      </c>
      <c r="F12" s="4">
        <v>22.5</v>
      </c>
      <c r="G12" s="4">
        <v>30.5</v>
      </c>
      <c r="H12" s="4">
        <v>38.5</v>
      </c>
      <c r="I12" s="4">
        <v>46.5</v>
      </c>
      <c r="J12" s="4">
        <v>54.5</v>
      </c>
      <c r="K12" s="5">
        <v>10364</v>
      </c>
      <c r="L12" s="5">
        <v>10840</v>
      </c>
      <c r="M12" s="5">
        <v>11316</v>
      </c>
      <c r="N12" s="5">
        <v>11791</v>
      </c>
      <c r="O12" s="5">
        <v>11526</v>
      </c>
      <c r="P12" s="4">
        <v>0.32</v>
      </c>
      <c r="Q12" s="1"/>
      <c r="R12" s="6">
        <v>4.7E-2</v>
      </c>
      <c r="S12">
        <f t="shared" si="0"/>
        <v>273.7</v>
      </c>
      <c r="T12">
        <f>S12+(G12-MAX($F12:F12))*K12/1000</f>
        <v>356.61199999999997</v>
      </c>
      <c r="U12">
        <f>T12+(H12-MAX($F12:G12))*L12/1000</f>
        <v>443.33199999999999</v>
      </c>
      <c r="V12">
        <f>U12+(I12-MAX($F12:H12))*M12/1000</f>
        <v>533.86</v>
      </c>
      <c r="W12">
        <f>V12+(J12-MAX($F12:I12))*N12/1000</f>
        <v>628.18799999999999</v>
      </c>
      <c r="X12">
        <f t="shared" si="1"/>
        <v>11.526385321100918</v>
      </c>
      <c r="Y12" s="19">
        <f t="shared" si="2"/>
        <v>3.853211009179347E-4</v>
      </c>
      <c r="Z12" s="19"/>
      <c r="AA12" s="19"/>
      <c r="AB12" s="19"/>
    </row>
    <row r="13" spans="1:28" x14ac:dyDescent="0.2">
      <c r="B13" t="str">
        <f t="shared" si="3"/>
        <v>Waiau_6</v>
      </c>
      <c r="C13" s="4" t="s">
        <v>33</v>
      </c>
      <c r="D13" s="4" t="s">
        <v>4</v>
      </c>
      <c r="E13" s="4">
        <v>276.2</v>
      </c>
      <c r="F13" s="4">
        <v>22.5</v>
      </c>
      <c r="G13" s="4">
        <v>30.3</v>
      </c>
      <c r="H13" s="4">
        <v>38</v>
      </c>
      <c r="I13" s="4">
        <v>45.8</v>
      </c>
      <c r="J13" s="4">
        <v>53.5</v>
      </c>
      <c r="K13" s="5">
        <v>10399</v>
      </c>
      <c r="L13" s="5">
        <v>10893</v>
      </c>
      <c r="M13" s="5">
        <v>11388</v>
      </c>
      <c r="N13" s="5">
        <v>11882</v>
      </c>
      <c r="O13" s="5">
        <v>11618</v>
      </c>
      <c r="P13" s="4">
        <v>0.32</v>
      </c>
      <c r="Q13" s="1"/>
      <c r="R13" s="6">
        <v>4.7E-2</v>
      </c>
      <c r="S13">
        <f t="shared" si="0"/>
        <v>276.2</v>
      </c>
      <c r="T13">
        <f>S13+(G13-MAX($F13:F13))*K13/1000</f>
        <v>357.31220000000002</v>
      </c>
      <c r="U13">
        <f>T13+(H13-MAX($F13:G13))*L13/1000</f>
        <v>441.18830000000003</v>
      </c>
      <c r="V13">
        <f>U13+(I13-MAX($F13:H13))*M13/1000</f>
        <v>530.01469999999995</v>
      </c>
      <c r="W13">
        <f>V13+(J13-MAX($F13:I13))*N13/1000</f>
        <v>621.50609999999995</v>
      </c>
      <c r="X13">
        <f t="shared" si="1"/>
        <v>11.61693644859813</v>
      </c>
      <c r="Y13" s="19">
        <f t="shared" si="2"/>
        <v>-1.0635514018701997E-3</v>
      </c>
      <c r="Z13" s="19"/>
      <c r="AA13" s="19"/>
      <c r="AB13" s="19"/>
    </row>
    <row r="14" spans="1:28" x14ac:dyDescent="0.2">
      <c r="B14" t="str">
        <f t="shared" si="3"/>
        <v>Waiau_7</v>
      </c>
      <c r="C14" s="4" t="s">
        <v>34</v>
      </c>
      <c r="D14" s="4" t="s">
        <v>4</v>
      </c>
      <c r="E14" s="4">
        <v>316</v>
      </c>
      <c r="F14" s="4">
        <v>27</v>
      </c>
      <c r="G14" s="4">
        <v>41</v>
      </c>
      <c r="H14" s="4">
        <v>55</v>
      </c>
      <c r="I14" s="4">
        <v>68.900000000000006</v>
      </c>
      <c r="J14" s="4">
        <v>82.9</v>
      </c>
      <c r="K14" s="5">
        <v>9247</v>
      </c>
      <c r="L14" s="5">
        <v>9794</v>
      </c>
      <c r="M14" s="5">
        <v>10340</v>
      </c>
      <c r="N14" s="5">
        <v>10887</v>
      </c>
      <c r="O14" s="5">
        <v>10600</v>
      </c>
      <c r="P14" s="4">
        <v>0.32</v>
      </c>
      <c r="Q14" s="1"/>
      <c r="R14" s="6">
        <v>5.1999999999999998E-2</v>
      </c>
      <c r="S14">
        <f t="shared" si="0"/>
        <v>316</v>
      </c>
      <c r="T14">
        <f>S14+(G14-MAX($F14:F14))*K14/1000</f>
        <v>445.45799999999997</v>
      </c>
      <c r="U14">
        <f>T14+(H14-MAX($F14:G14))*L14/1000</f>
        <v>582.57399999999996</v>
      </c>
      <c r="V14">
        <f>U14+(I14-MAX($F14:H14))*M14/1000</f>
        <v>726.3</v>
      </c>
      <c r="W14">
        <f>V14+(J14-MAX($F14:I14))*N14/1000</f>
        <v>878.71799999999996</v>
      </c>
      <c r="X14">
        <f t="shared" si="1"/>
        <v>10.599734620024124</v>
      </c>
      <c r="Y14" s="19">
        <f t="shared" si="2"/>
        <v>-2.6537997587539053E-4</v>
      </c>
      <c r="Z14" s="19"/>
      <c r="AA14" s="19"/>
      <c r="AB14" s="19"/>
    </row>
    <row r="15" spans="1:28" x14ac:dyDescent="0.2">
      <c r="B15" t="str">
        <f t="shared" si="3"/>
        <v>Waiau_8</v>
      </c>
      <c r="C15" s="4" t="s">
        <v>35</v>
      </c>
      <c r="D15" s="4" t="s">
        <v>4</v>
      </c>
      <c r="E15" s="4">
        <v>314.10000000000002</v>
      </c>
      <c r="F15" s="4">
        <v>27</v>
      </c>
      <c r="G15" s="4">
        <v>41.8</v>
      </c>
      <c r="H15" s="4">
        <v>56.6</v>
      </c>
      <c r="I15" s="4">
        <v>71.3</v>
      </c>
      <c r="J15" s="4">
        <v>86.1</v>
      </c>
      <c r="K15" s="5">
        <v>8971</v>
      </c>
      <c r="L15" s="5">
        <v>9358</v>
      </c>
      <c r="M15" s="5">
        <v>9746</v>
      </c>
      <c r="N15" s="5">
        <v>10133</v>
      </c>
      <c r="O15" s="5">
        <v>10204</v>
      </c>
      <c r="P15" s="4">
        <v>0.32</v>
      </c>
      <c r="Q15" s="1"/>
      <c r="R15" s="6">
        <v>5.1999999999999998E-2</v>
      </c>
      <c r="S15">
        <f t="shared" si="0"/>
        <v>314.10000000000002</v>
      </c>
      <c r="T15">
        <f>S15+(G15-MAX($F15:F15))*K15/1000</f>
        <v>446.87080000000003</v>
      </c>
      <c r="U15">
        <f>T15+(H15-MAX($F15:G15))*L15/1000</f>
        <v>585.36920000000009</v>
      </c>
      <c r="V15">
        <f>U15+(I15-MAX($F15:H15))*M15/1000</f>
        <v>728.6354</v>
      </c>
      <c r="W15">
        <f>V15+(J15-MAX($F15:I15))*N15/1000</f>
        <v>878.60379999999998</v>
      </c>
      <c r="X15">
        <f t="shared" si="1"/>
        <v>10.204457607433218</v>
      </c>
      <c r="Y15" s="19">
        <f t="shared" si="2"/>
        <v>4.5760743321743291E-4</v>
      </c>
      <c r="Z15" s="19"/>
      <c r="AA15" s="19"/>
      <c r="AB15" s="19"/>
    </row>
    <row r="16" spans="1:28" x14ac:dyDescent="0.2">
      <c r="B16" t="str">
        <f t="shared" si="3"/>
        <v>Waiau_9</v>
      </c>
      <c r="C16" s="4" t="s">
        <v>36</v>
      </c>
      <c r="D16" s="4" t="s">
        <v>37</v>
      </c>
      <c r="E16" s="4">
        <v>245.3</v>
      </c>
      <c r="F16" s="16">
        <v>5.9</v>
      </c>
      <c r="G16" s="16">
        <v>17.7</v>
      </c>
      <c r="H16" s="16">
        <v>29.4</v>
      </c>
      <c r="I16" s="16">
        <v>41.2</v>
      </c>
      <c r="J16" s="16">
        <v>52.9</v>
      </c>
      <c r="K16" s="17">
        <v>8514</v>
      </c>
      <c r="L16" s="17">
        <v>9199</v>
      </c>
      <c r="M16" s="17">
        <v>9883</v>
      </c>
      <c r="N16" s="17">
        <v>10568</v>
      </c>
      <c r="O16" s="17">
        <v>13115</v>
      </c>
      <c r="P16" s="1">
        <f>99.19/AVERAGE(F16,J16)</f>
        <v>3.3738095238095238</v>
      </c>
      <c r="Q16" s="4">
        <v>99.19</v>
      </c>
      <c r="R16" s="6">
        <v>0.109</v>
      </c>
      <c r="S16">
        <f t="shared" si="0"/>
        <v>245.3</v>
      </c>
      <c r="T16">
        <f>S16+(G16-MAX($F16:F16))*K16/1000</f>
        <v>345.76519999999999</v>
      </c>
      <c r="U16">
        <f>T16+(H16-MAX($F16:G16))*L16/1000</f>
        <v>453.39349999999996</v>
      </c>
      <c r="V16">
        <f>U16+(I16-MAX($F16:H16))*M16/1000</f>
        <v>570.01289999999995</v>
      </c>
      <c r="W16">
        <f>V16+(J16-MAX($F16:I16))*N16/1000</f>
        <v>693.65849999999989</v>
      </c>
      <c r="X16">
        <f t="shared" si="1"/>
        <v>13.112637051039696</v>
      </c>
      <c r="Y16" s="19">
        <f t="shared" si="2"/>
        <v>-2.3629489603038678E-3</v>
      </c>
      <c r="Z16" s="19"/>
      <c r="AA16" s="19"/>
      <c r="AB16" s="19"/>
    </row>
    <row r="17" spans="1:28" x14ac:dyDescent="0.2">
      <c r="B17" t="str">
        <f t="shared" si="3"/>
        <v>Waiau_10</v>
      </c>
      <c r="C17" s="4" t="s">
        <v>38</v>
      </c>
      <c r="D17" s="4" t="s">
        <v>37</v>
      </c>
      <c r="E17" s="4">
        <v>234.7</v>
      </c>
      <c r="F17" s="16">
        <v>5.9</v>
      </c>
      <c r="G17" s="16">
        <v>16.899999999999999</v>
      </c>
      <c r="H17" s="16">
        <v>27.9</v>
      </c>
      <c r="I17" s="16">
        <v>38.9</v>
      </c>
      <c r="J17" s="16">
        <v>49.9</v>
      </c>
      <c r="K17" s="17">
        <v>7904</v>
      </c>
      <c r="L17" s="17">
        <v>8529</v>
      </c>
      <c r="M17" s="17">
        <v>9155</v>
      </c>
      <c r="N17" s="17">
        <v>9780</v>
      </c>
      <c r="O17" s="17">
        <v>12499</v>
      </c>
      <c r="P17" s="1">
        <f>99.19/AVERAGE(F17,J17)</f>
        <v>3.5551971326164877</v>
      </c>
      <c r="Q17" s="4">
        <v>99.19</v>
      </c>
      <c r="R17" s="6">
        <v>0.109</v>
      </c>
      <c r="S17">
        <f t="shared" si="0"/>
        <v>234.7</v>
      </c>
      <c r="T17">
        <f>S17+(G17-MAX($F17:F17))*K17/1000</f>
        <v>321.64400000000001</v>
      </c>
      <c r="U17">
        <f>T17+(H17-MAX($F17:G17))*L17/1000</f>
        <v>415.46300000000002</v>
      </c>
      <c r="V17">
        <f>U17+(I17-MAX($F17:H17))*M17/1000</f>
        <v>516.16800000000001</v>
      </c>
      <c r="W17">
        <f>V17+(J17-MAX($F17:I17))*N17/1000</f>
        <v>623.74800000000005</v>
      </c>
      <c r="X17">
        <f t="shared" si="1"/>
        <v>12.49995991983968</v>
      </c>
      <c r="Y17" s="19">
        <f t="shared" si="2"/>
        <v>9.5991983967991246E-4</v>
      </c>
      <c r="Z17" s="19"/>
      <c r="AA17" s="19"/>
      <c r="AB17" s="19"/>
    </row>
    <row r="18" spans="1:28" x14ac:dyDescent="0.2">
      <c r="B18" t="str">
        <f t="shared" si="3"/>
        <v>Kahe_1</v>
      </c>
      <c r="C18" s="4" t="s">
        <v>39</v>
      </c>
      <c r="D18" s="4" t="s">
        <v>4</v>
      </c>
      <c r="E18" s="4">
        <v>387.9</v>
      </c>
      <c r="F18" s="4">
        <v>36.5</v>
      </c>
      <c r="G18" s="4">
        <v>47.9</v>
      </c>
      <c r="H18" s="4">
        <v>59.3</v>
      </c>
      <c r="I18" s="4">
        <v>70.7</v>
      </c>
      <c r="J18" s="4">
        <v>82.1</v>
      </c>
      <c r="K18" s="5">
        <v>9237</v>
      </c>
      <c r="L18" s="5">
        <v>9531</v>
      </c>
      <c r="M18" s="5">
        <v>9825</v>
      </c>
      <c r="N18" s="5">
        <v>10118</v>
      </c>
      <c r="O18" s="5">
        <v>10101</v>
      </c>
      <c r="P18" s="4">
        <v>0.32</v>
      </c>
      <c r="Q18" s="1"/>
      <c r="R18" s="6">
        <v>3.5999999999999997E-2</v>
      </c>
      <c r="S18">
        <f t="shared" si="0"/>
        <v>387.9</v>
      </c>
      <c r="T18">
        <f>S18+(G18-MAX($F18:F18))*K18/1000</f>
        <v>493.20179999999993</v>
      </c>
      <c r="U18">
        <f>T18+(H18-MAX($F18:G18))*L18/1000</f>
        <v>601.85519999999997</v>
      </c>
      <c r="V18">
        <f>U18+(I18-MAX($F18:H18))*M18/1000</f>
        <v>713.86020000000008</v>
      </c>
      <c r="W18">
        <f>V18+(J18-MAX($F18:I18))*N18/1000</f>
        <v>829.20539999999994</v>
      </c>
      <c r="X18">
        <f t="shared" si="1"/>
        <v>10.099943970767358</v>
      </c>
      <c r="Y18" s="19">
        <f t="shared" si="2"/>
        <v>-1.0560292326431409E-3</v>
      </c>
      <c r="Z18" s="19"/>
      <c r="AA18" s="19"/>
      <c r="AB18" s="19"/>
    </row>
    <row r="19" spans="1:28" x14ac:dyDescent="0.2">
      <c r="B19" t="str">
        <f t="shared" si="3"/>
        <v>Kahe_2</v>
      </c>
      <c r="C19" s="4" t="s">
        <v>40</v>
      </c>
      <c r="D19" s="4" t="s">
        <v>4</v>
      </c>
      <c r="E19" s="4">
        <v>383.4</v>
      </c>
      <c r="F19" s="4">
        <v>36.700000000000003</v>
      </c>
      <c r="G19" s="4">
        <v>48.1</v>
      </c>
      <c r="H19" s="4">
        <v>59.4</v>
      </c>
      <c r="I19" s="4">
        <v>70.8</v>
      </c>
      <c r="J19" s="4">
        <v>82.1</v>
      </c>
      <c r="K19" s="5">
        <v>9365</v>
      </c>
      <c r="L19" s="5">
        <v>9444</v>
      </c>
      <c r="M19" s="5">
        <v>9524</v>
      </c>
      <c r="N19" s="5">
        <v>9603</v>
      </c>
      <c r="O19" s="5">
        <v>9915</v>
      </c>
      <c r="P19" s="4">
        <v>0.32</v>
      </c>
      <c r="Q19" s="1"/>
      <c r="R19" s="6">
        <v>3.5999999999999997E-2</v>
      </c>
      <c r="S19">
        <f t="shared" si="0"/>
        <v>383.4</v>
      </c>
      <c r="T19">
        <f>S19+(G19-MAX($F19:F19))*K19/1000</f>
        <v>490.16099999999994</v>
      </c>
      <c r="U19">
        <f>T19+(H19-MAX($F19:G19))*L19/1000</f>
        <v>596.87819999999988</v>
      </c>
      <c r="V19">
        <f>U19+(I19-MAX($F19:H19))*M19/1000</f>
        <v>705.45179999999982</v>
      </c>
      <c r="W19">
        <f>V19+(J19-MAX($F19:I19))*N19/1000</f>
        <v>813.96569999999974</v>
      </c>
      <c r="X19">
        <f t="shared" si="1"/>
        <v>9.9143203410475014</v>
      </c>
      <c r="Y19" s="19">
        <f t="shared" si="2"/>
        <v>-6.7965895249955111E-4</v>
      </c>
      <c r="Z19" s="19"/>
      <c r="AA19" s="19"/>
      <c r="AB19" s="19"/>
    </row>
    <row r="20" spans="1:28" x14ac:dyDescent="0.2">
      <c r="B20" t="str">
        <f t="shared" si="3"/>
        <v>Kahe_3</v>
      </c>
      <c r="C20" s="4" t="s">
        <v>41</v>
      </c>
      <c r="D20" s="4" t="s">
        <v>4</v>
      </c>
      <c r="E20" s="4">
        <v>373.9</v>
      </c>
      <c r="F20" s="4">
        <v>36.299999999999997</v>
      </c>
      <c r="G20" s="4">
        <v>48.8</v>
      </c>
      <c r="H20" s="4">
        <v>61.2</v>
      </c>
      <c r="I20" s="4">
        <v>73.7</v>
      </c>
      <c r="J20" s="4">
        <v>86.1</v>
      </c>
      <c r="K20" s="5">
        <v>9030</v>
      </c>
      <c r="L20" s="5">
        <v>9188</v>
      </c>
      <c r="M20" s="5">
        <v>9345</v>
      </c>
      <c r="N20" s="5">
        <v>9502</v>
      </c>
      <c r="O20" s="5">
        <v>9703</v>
      </c>
      <c r="P20" s="4">
        <v>0.32</v>
      </c>
      <c r="Q20" s="1"/>
      <c r="R20" s="6">
        <v>5.1999999999999998E-2</v>
      </c>
      <c r="S20">
        <f t="shared" si="0"/>
        <v>373.9</v>
      </c>
      <c r="T20">
        <f>S20+(G20-MAX($F20:F20))*K20/1000</f>
        <v>486.77499999999998</v>
      </c>
      <c r="U20">
        <f>T20+(H20-MAX($F20:G20))*L20/1000</f>
        <v>600.70620000000008</v>
      </c>
      <c r="V20">
        <f>U20+(I20-MAX($F20:H20))*M20/1000</f>
        <v>717.51870000000008</v>
      </c>
      <c r="W20">
        <f>V20+(J20-MAX($F20:I20))*N20/1000</f>
        <v>835.34349999999995</v>
      </c>
      <c r="X20">
        <f t="shared" si="1"/>
        <v>9.7020150987224163</v>
      </c>
      <c r="Y20" s="19">
        <f t="shared" si="2"/>
        <v>-9.8490127758310564E-4</v>
      </c>
      <c r="Z20" s="19"/>
      <c r="AA20" s="19"/>
      <c r="AB20" s="19"/>
    </row>
    <row r="21" spans="1:28" x14ac:dyDescent="0.2">
      <c r="B21" t="str">
        <f t="shared" si="3"/>
        <v>Kahe_4</v>
      </c>
      <c r="C21" s="4" t="s">
        <v>42</v>
      </c>
      <c r="D21" s="4" t="s">
        <v>4</v>
      </c>
      <c r="E21" s="4">
        <v>390.5</v>
      </c>
      <c r="F21" s="4">
        <v>36.299999999999997</v>
      </c>
      <c r="G21" s="4">
        <v>48.6</v>
      </c>
      <c r="H21" s="4">
        <v>60.8</v>
      </c>
      <c r="I21" s="4">
        <v>73.099999999999994</v>
      </c>
      <c r="J21" s="4">
        <v>85.3</v>
      </c>
      <c r="K21" s="5">
        <v>9041</v>
      </c>
      <c r="L21" s="5">
        <v>9221</v>
      </c>
      <c r="M21" s="5">
        <v>9402</v>
      </c>
      <c r="N21" s="5">
        <v>9582</v>
      </c>
      <c r="O21" s="5">
        <v>9927</v>
      </c>
      <c r="P21" s="4">
        <v>0.32</v>
      </c>
      <c r="Q21" s="1"/>
      <c r="R21" s="6">
        <v>5.1999999999999998E-2</v>
      </c>
      <c r="S21">
        <f t="shared" si="0"/>
        <v>390.5</v>
      </c>
      <c r="T21">
        <f>S21+(G21-MAX($F21:F21))*K21/1000</f>
        <v>501.70430000000005</v>
      </c>
      <c r="U21">
        <f>T21+(H21-MAX($F21:G21))*L21/1000</f>
        <v>614.20050000000003</v>
      </c>
      <c r="V21">
        <f>U21+(I21-MAX($F21:H21))*M21/1000</f>
        <v>729.8451</v>
      </c>
      <c r="W21">
        <f>V21+(J21-MAX($F21:I21))*N21/1000</f>
        <v>846.74549999999999</v>
      </c>
      <c r="X21">
        <f t="shared" si="1"/>
        <v>9.9266764361078543</v>
      </c>
      <c r="Y21" s="19">
        <f t="shared" si="2"/>
        <v>-3.2356389214527326E-4</v>
      </c>
      <c r="Z21" s="19"/>
      <c r="AA21" s="19"/>
      <c r="AB21" s="19"/>
    </row>
    <row r="22" spans="1:28" x14ac:dyDescent="0.2">
      <c r="B22" t="str">
        <f t="shared" si="3"/>
        <v>Kahe_5</v>
      </c>
      <c r="C22" s="4" t="s">
        <v>43</v>
      </c>
      <c r="D22" s="4" t="s">
        <v>4</v>
      </c>
      <c r="E22" s="4">
        <v>569.70000000000005</v>
      </c>
      <c r="F22" s="4">
        <v>54.7</v>
      </c>
      <c r="G22" s="4">
        <v>74.599999999999994</v>
      </c>
      <c r="H22" s="4">
        <v>94.5</v>
      </c>
      <c r="I22" s="4">
        <v>114.4</v>
      </c>
      <c r="J22" s="4">
        <v>134.30000000000001</v>
      </c>
      <c r="K22" s="5">
        <v>9012</v>
      </c>
      <c r="L22" s="5">
        <v>9133</v>
      </c>
      <c r="M22" s="5">
        <v>9254</v>
      </c>
      <c r="N22" s="5">
        <v>9375</v>
      </c>
      <c r="O22" s="5">
        <v>9691</v>
      </c>
      <c r="P22" s="4">
        <v>0.32</v>
      </c>
      <c r="Q22" s="1"/>
      <c r="R22" s="6">
        <v>3.2000000000000001E-2</v>
      </c>
      <c r="S22">
        <f t="shared" si="0"/>
        <v>569.70000000000005</v>
      </c>
      <c r="T22">
        <f>S22+(G22-MAX($F22:F22))*K22/1000</f>
        <v>749.03880000000004</v>
      </c>
      <c r="U22">
        <f>T22+(H22-MAX($F22:G22))*L22/1000</f>
        <v>930.78550000000007</v>
      </c>
      <c r="V22">
        <f>U22+(I22-MAX($F22:H22))*M22/1000</f>
        <v>1114.9401000000003</v>
      </c>
      <c r="W22">
        <f>V22+(J22-MAX($F22:I22))*N22/1000</f>
        <v>1301.5026000000003</v>
      </c>
      <c r="X22">
        <f t="shared" si="1"/>
        <v>9.6910096798212972</v>
      </c>
      <c r="Y22" s="19">
        <f t="shared" si="2"/>
        <v>9.6798212965154562E-6</v>
      </c>
      <c r="Z22" s="19"/>
      <c r="AA22" s="19"/>
      <c r="AB22" s="19"/>
    </row>
    <row r="23" spans="1:28" x14ac:dyDescent="0.2">
      <c r="B23" t="str">
        <f t="shared" si="3"/>
        <v>Kahe_6</v>
      </c>
      <c r="C23" s="4" t="s">
        <v>44</v>
      </c>
      <c r="D23" s="4" t="s">
        <v>4</v>
      </c>
      <c r="E23" s="4">
        <v>579.70000000000005</v>
      </c>
      <c r="F23" s="4">
        <v>54</v>
      </c>
      <c r="G23" s="4">
        <v>74.099999999999994</v>
      </c>
      <c r="H23" s="4">
        <v>94.2</v>
      </c>
      <c r="I23" s="4">
        <v>114.3</v>
      </c>
      <c r="J23" s="4">
        <v>134.4</v>
      </c>
      <c r="K23" s="5">
        <v>9142</v>
      </c>
      <c r="L23" s="5">
        <v>9450</v>
      </c>
      <c r="M23" s="5">
        <v>9759</v>
      </c>
      <c r="N23" s="5">
        <v>10067</v>
      </c>
      <c r="O23" s="5">
        <v>10059</v>
      </c>
      <c r="P23" s="4">
        <v>0.32</v>
      </c>
      <c r="Q23" s="1"/>
      <c r="R23" s="6">
        <v>2.1000000000000001E-2</v>
      </c>
      <c r="S23">
        <f t="shared" si="0"/>
        <v>579.70000000000005</v>
      </c>
      <c r="T23">
        <f>S23+(G23-MAX($F23:F23))*K23/1000</f>
        <v>763.45420000000001</v>
      </c>
      <c r="U23">
        <f>T23+(H23-MAX($F23:G23))*L23/1000</f>
        <v>953.39920000000006</v>
      </c>
      <c r="V23">
        <f>U23+(I23-MAX($F23:H23))*M23/1000</f>
        <v>1149.5551</v>
      </c>
      <c r="W23">
        <f>V23+(J23-MAX($F23:I23))*N23/1000</f>
        <v>1351.9018000000001</v>
      </c>
      <c r="X23">
        <f t="shared" si="1"/>
        <v>10.058793154761904</v>
      </c>
      <c r="Y23" s="19">
        <f t="shared" si="2"/>
        <v>-2.0684523809677557E-4</v>
      </c>
      <c r="Z23" s="19"/>
      <c r="AA23" s="19"/>
      <c r="AB23" s="19"/>
    </row>
    <row r="24" spans="1:28" x14ac:dyDescent="0.2">
      <c r="B24" t="str">
        <f t="shared" si="3"/>
        <v>Kalaeloa_CC1</v>
      </c>
      <c r="C24" s="4" t="s">
        <v>45</v>
      </c>
      <c r="D24" s="4" t="s">
        <v>4</v>
      </c>
      <c r="E24" s="4">
        <v>637.29999999999995</v>
      </c>
      <c r="F24" s="4">
        <v>67</v>
      </c>
      <c r="G24" s="4">
        <v>72.8</v>
      </c>
      <c r="H24" s="4">
        <v>78.5</v>
      </c>
      <c r="I24" s="4">
        <v>84.3</v>
      </c>
      <c r="J24" s="4">
        <v>90</v>
      </c>
      <c r="K24" s="5">
        <v>5725</v>
      </c>
      <c r="L24" s="5">
        <v>5832</v>
      </c>
      <c r="M24" s="5">
        <v>5939</v>
      </c>
      <c r="N24" s="5">
        <v>6047</v>
      </c>
      <c r="O24" s="5">
        <v>8585</v>
      </c>
      <c r="P24" s="4">
        <v>6</v>
      </c>
      <c r="Q24" s="1"/>
      <c r="R24" s="6">
        <v>1.4999999999999999E-2</v>
      </c>
      <c r="S24">
        <f t="shared" si="0"/>
        <v>637.29999999999995</v>
      </c>
      <c r="T24">
        <f>S24+(G24-MAX($F24:F24))*K24/1000</f>
        <v>670.50499999999988</v>
      </c>
      <c r="U24">
        <f>T24+(H24-MAX($F24:G24))*L24/1000</f>
        <v>703.74739999999986</v>
      </c>
      <c r="V24">
        <f>U24+(I24-MAX($F24:H24))*M24/1000</f>
        <v>738.19359999999983</v>
      </c>
      <c r="W24">
        <f>V24+(J24-MAX($F24:I24))*N24/1000</f>
        <v>772.66149999999982</v>
      </c>
      <c r="X24">
        <f t="shared" si="1"/>
        <v>8.5851277777777764</v>
      </c>
      <c r="Y24" s="19">
        <f t="shared" si="2"/>
        <v>1.2777777777550625E-4</v>
      </c>
      <c r="Z24" s="19"/>
      <c r="AA24" s="19"/>
      <c r="AB24" s="19"/>
    </row>
    <row r="25" spans="1:28" x14ac:dyDescent="0.2">
      <c r="B25" t="str">
        <f t="shared" si="3"/>
        <v>Kalaeloa_CC2</v>
      </c>
      <c r="C25" s="4" t="s">
        <v>46</v>
      </c>
      <c r="D25" s="4" t="s">
        <v>4</v>
      </c>
      <c r="E25" s="4">
        <v>637.29999999999995</v>
      </c>
      <c r="F25" s="4">
        <v>67</v>
      </c>
      <c r="G25" s="4">
        <v>72.8</v>
      </c>
      <c r="H25" s="4">
        <v>78.5</v>
      </c>
      <c r="I25" s="4">
        <v>84.3</v>
      </c>
      <c r="J25" s="4">
        <v>90</v>
      </c>
      <c r="K25" s="5">
        <v>5725</v>
      </c>
      <c r="L25" s="5">
        <v>5832</v>
      </c>
      <c r="M25" s="5">
        <v>5939</v>
      </c>
      <c r="N25" s="5">
        <v>6047</v>
      </c>
      <c r="O25" s="5">
        <v>8585</v>
      </c>
      <c r="P25" s="4">
        <v>6</v>
      </c>
      <c r="Q25" s="1"/>
      <c r="R25" s="6">
        <v>1.4999999999999999E-2</v>
      </c>
      <c r="S25">
        <f t="shared" si="0"/>
        <v>637.29999999999995</v>
      </c>
      <c r="T25">
        <f>S25+(G25-MAX($F25:F25))*K25/1000</f>
        <v>670.50499999999988</v>
      </c>
      <c r="U25">
        <f>T25+(H25-MAX($F25:G25))*L25/1000</f>
        <v>703.74739999999986</v>
      </c>
      <c r="V25">
        <f>U25+(I25-MAX($F25:H25))*M25/1000</f>
        <v>738.19359999999983</v>
      </c>
      <c r="W25">
        <f>V25+(J25-MAX($F25:I25))*N25/1000</f>
        <v>772.66149999999982</v>
      </c>
      <c r="X25">
        <f t="shared" si="1"/>
        <v>8.5851277777777764</v>
      </c>
      <c r="Y25" s="19">
        <f t="shared" si="2"/>
        <v>1.2777777777550625E-4</v>
      </c>
      <c r="Z25" s="19"/>
      <c r="AA25" s="19"/>
      <c r="AB25" s="19"/>
    </row>
    <row r="26" spans="1:28" x14ac:dyDescent="0.2">
      <c r="B26" t="str">
        <f t="shared" si="3"/>
        <v>Kalaeloa_CC3</v>
      </c>
      <c r="C26" s="4" t="s">
        <v>47</v>
      </c>
      <c r="D26" s="4" t="s">
        <v>4</v>
      </c>
      <c r="E26" s="4">
        <v>0.1</v>
      </c>
      <c r="F26" s="4">
        <v>0</v>
      </c>
      <c r="G26" s="4">
        <v>28</v>
      </c>
      <c r="H26" s="4"/>
      <c r="I26" s="4"/>
      <c r="J26" s="4"/>
      <c r="K26" s="5">
        <v>8651</v>
      </c>
      <c r="L26" s="4"/>
      <c r="M26" s="4"/>
      <c r="N26" s="8"/>
      <c r="O26" s="5">
        <v>8654</v>
      </c>
      <c r="P26" s="4">
        <v>6</v>
      </c>
      <c r="Q26" s="1"/>
      <c r="R26" s="6">
        <v>1.4999999999999999E-2</v>
      </c>
      <c r="S26">
        <f t="shared" si="0"/>
        <v>0.1</v>
      </c>
      <c r="T26">
        <f>S26+(G26-MAX($F26:F26))*K26/1000</f>
        <v>242.328</v>
      </c>
      <c r="U26">
        <f>T26+(H26-MAX($F26:G26))*L26/1000</f>
        <v>242.328</v>
      </c>
      <c r="V26">
        <f>U26+(I26-MAX($F26:H26))*M26/1000</f>
        <v>242.328</v>
      </c>
      <c r="W26">
        <f>V26+(J26-MAX($F26:I26))*N26/1000</f>
        <v>242.328</v>
      </c>
      <c r="X26">
        <f t="shared" si="1"/>
        <v>8.6545714285714279</v>
      </c>
      <c r="Y26" s="19">
        <f t="shared" si="2"/>
        <v>5.7142857142800096E-4</v>
      </c>
      <c r="Z26" s="19"/>
      <c r="AA26" s="19"/>
      <c r="AB26" s="19"/>
    </row>
    <row r="27" spans="1:28" ht="17" x14ac:dyDescent="0.2">
      <c r="B27" t="str">
        <f t="shared" si="3"/>
        <v>AES</v>
      </c>
      <c r="C27" s="10" t="s">
        <v>5</v>
      </c>
      <c r="D27" s="10" t="s">
        <v>48</v>
      </c>
      <c r="E27" s="12">
        <v>1284.7</v>
      </c>
      <c r="F27" s="12">
        <v>67</v>
      </c>
      <c r="G27" s="12">
        <v>96.5</v>
      </c>
      <c r="H27" s="12">
        <v>126</v>
      </c>
      <c r="I27" s="12">
        <v>155.5</v>
      </c>
      <c r="J27" s="12">
        <v>180</v>
      </c>
      <c r="K27" s="12">
        <v>15805</v>
      </c>
      <c r="L27" s="12">
        <v>16106</v>
      </c>
      <c r="M27" s="12">
        <v>16407</v>
      </c>
      <c r="N27" s="8">
        <v>16708</v>
      </c>
      <c r="O27" s="11">
        <v>17314</v>
      </c>
      <c r="P27" s="4">
        <v>2</v>
      </c>
      <c r="Q27" s="1"/>
      <c r="R27" s="13">
        <v>1.4999999999999999E-2</v>
      </c>
      <c r="S27">
        <f t="shared" si="0"/>
        <v>1284.7</v>
      </c>
      <c r="T27">
        <f>S27+(G27-MAX($F27:F27))*K27/1000</f>
        <v>1750.9475</v>
      </c>
      <c r="U27">
        <f>T27+(H27-MAX($F27:G27))*L27/1000</f>
        <v>2226.0745000000002</v>
      </c>
      <c r="V27">
        <f>U27+(I27-MAX($F27:H27))*M27/1000</f>
        <v>2710.0810000000001</v>
      </c>
      <c r="W27">
        <f>V27+(J27-MAX($F27:I27))*N27/1000</f>
        <v>3119.4270000000001</v>
      </c>
      <c r="X27">
        <f t="shared" si="1"/>
        <v>17.33015</v>
      </c>
      <c r="Y27" s="19">
        <f t="shared" si="2"/>
        <v>1.6149999999999665E-2</v>
      </c>
      <c r="Z27" s="19"/>
      <c r="AA27" s="19"/>
      <c r="AB27" s="19"/>
    </row>
    <row r="28" spans="1:28" x14ac:dyDescent="0.2">
      <c r="B28" t="str">
        <f t="shared" si="3"/>
        <v>H-Power</v>
      </c>
      <c r="C28" s="14" t="s">
        <v>49</v>
      </c>
      <c r="D28" s="14" t="s">
        <v>55</v>
      </c>
      <c r="E28" s="14"/>
      <c r="F28" s="14"/>
      <c r="G28" s="14"/>
      <c r="H28" s="14"/>
      <c r="I28" s="14"/>
      <c r="J28" s="14"/>
      <c r="K28" s="1"/>
      <c r="L28" s="1"/>
      <c r="M28" s="1"/>
      <c r="N28" s="8"/>
      <c r="O28" s="14"/>
      <c r="P28" s="4">
        <v>18</v>
      </c>
      <c r="Q28" s="1"/>
      <c r="R28" s="15">
        <v>0.1</v>
      </c>
      <c r="S28">
        <f t="shared" si="0"/>
        <v>0</v>
      </c>
      <c r="T28">
        <f>S28+(G28-MAX($F28:F28))*K28/1000</f>
        <v>0</v>
      </c>
      <c r="U28">
        <f>T28+(H28-MAX($F28:G28))*L28/1000</f>
        <v>0</v>
      </c>
      <c r="V28">
        <f>U28+(I28-MAX($F28:H28))*M28/1000</f>
        <v>0</v>
      </c>
      <c r="W28">
        <f>V28+(J28-MAX($F28:I28))*N28/1000</f>
        <v>0</v>
      </c>
      <c r="X28">
        <f t="shared" si="1"/>
        <v>0</v>
      </c>
      <c r="Y28" s="19">
        <f t="shared" si="2"/>
        <v>0</v>
      </c>
      <c r="Z28" s="19"/>
      <c r="AA28" s="19"/>
      <c r="AB28" s="19"/>
    </row>
    <row r="29" spans="1:28" x14ac:dyDescent="0.2">
      <c r="B29" t="str">
        <f t="shared" si="3"/>
        <v>CIP_CT</v>
      </c>
      <c r="C29" s="7" t="s">
        <v>50</v>
      </c>
      <c r="D29" s="7" t="s">
        <v>51</v>
      </c>
      <c r="E29" s="7">
        <v>714.5</v>
      </c>
      <c r="F29" s="7">
        <v>45</v>
      </c>
      <c r="G29" s="7">
        <v>113</v>
      </c>
      <c r="H29" s="7"/>
      <c r="I29" s="7"/>
      <c r="J29" s="7"/>
      <c r="K29" s="8">
        <f>(O29*G29-E29*1000)/(G29-F29)</f>
        <v>8915.3529411764703</v>
      </c>
      <c r="L29" s="7"/>
      <c r="M29" s="7"/>
      <c r="N29" s="7"/>
      <c r="O29" s="8">
        <v>11688</v>
      </c>
      <c r="P29" s="7">
        <v>40.76</v>
      </c>
      <c r="Q29" s="1"/>
      <c r="R29" s="9">
        <v>0.15</v>
      </c>
      <c r="S29">
        <f t="shared" si="0"/>
        <v>714.5</v>
      </c>
      <c r="T29">
        <f>S29+(G29-MAX($F29:F29))*K29/1000</f>
        <v>1320.7440000000001</v>
      </c>
      <c r="U29">
        <f>T29+(H29-MAX($F29:G29))*L29/1000</f>
        <v>1320.7440000000001</v>
      </c>
      <c r="V29">
        <f>U29+(I29-MAX($F29:H29))*M29/1000</f>
        <v>1320.7440000000001</v>
      </c>
      <c r="W29">
        <f>V29+(J29-MAX($F29:I29))*N29/1000</f>
        <v>1320.7440000000001</v>
      </c>
      <c r="X29">
        <f t="shared" si="1"/>
        <v>11.688000000000001</v>
      </c>
      <c r="Y29" s="19">
        <f t="shared" si="2"/>
        <v>0</v>
      </c>
      <c r="Z29" s="19"/>
      <c r="AA29" s="19"/>
      <c r="AB29" s="19"/>
    </row>
    <row r="30" spans="1:28" x14ac:dyDescent="0.2">
      <c r="B30" t="str">
        <f t="shared" si="3"/>
        <v>Airport_DSG</v>
      </c>
      <c r="C30" s="7" t="s">
        <v>52</v>
      </c>
      <c r="D30" s="7" t="s">
        <v>51</v>
      </c>
      <c r="E30" s="7">
        <f>F30*O30*0.001</f>
        <v>81.64</v>
      </c>
      <c r="F30" s="7">
        <v>8</v>
      </c>
      <c r="G30" s="7"/>
      <c r="H30" s="7"/>
      <c r="I30" s="7"/>
      <c r="J30" s="7"/>
      <c r="K30" s="8"/>
      <c r="L30" s="7"/>
      <c r="M30" s="7"/>
      <c r="N30" s="8"/>
      <c r="O30" s="8">
        <v>10205</v>
      </c>
      <c r="P30" s="7">
        <v>37.46</v>
      </c>
      <c r="Q30" s="1"/>
      <c r="R30" s="9">
        <v>0.57999999999999996</v>
      </c>
      <c r="S30">
        <f t="shared" si="0"/>
        <v>81.64</v>
      </c>
      <c r="T30">
        <f>S30+(G30-MAX($F30:F30))*K30/1000</f>
        <v>81.64</v>
      </c>
      <c r="U30">
        <f>T30+(H30-MAX($F30:G30))*L30/1000</f>
        <v>81.64</v>
      </c>
      <c r="V30">
        <f>U30+(I30-MAX($F30:H30))*M30/1000</f>
        <v>81.64</v>
      </c>
      <c r="W30">
        <f>V30+(J30-MAX($F30:I30))*N30/1000</f>
        <v>81.64</v>
      </c>
      <c r="X30">
        <f t="shared" si="1"/>
        <v>10.205</v>
      </c>
      <c r="Y30" s="19">
        <f t="shared" si="2"/>
        <v>0</v>
      </c>
      <c r="Z30" s="19"/>
      <c r="AA30" s="19"/>
      <c r="AB30" s="19"/>
    </row>
    <row r="31" spans="1:28" x14ac:dyDescent="0.2">
      <c r="C31" s="22"/>
      <c r="D31" s="22"/>
      <c r="E31" s="22"/>
      <c r="F31" s="22"/>
      <c r="G31" s="22"/>
      <c r="H31" s="22"/>
      <c r="I31" s="22"/>
      <c r="J31" s="22"/>
      <c r="K31" s="23"/>
      <c r="L31" s="22"/>
      <c r="M31" s="22"/>
      <c r="N31" s="23"/>
      <c r="O31" s="23"/>
      <c r="P31" s="22"/>
      <c r="Q31" s="24"/>
      <c r="R31" s="25"/>
      <c r="Y31" s="19"/>
      <c r="Z31" s="19"/>
      <c r="AA31" s="19"/>
      <c r="AB31" s="19"/>
    </row>
    <row r="32" spans="1:28" x14ac:dyDescent="0.2">
      <c r="A32" t="s">
        <v>127</v>
      </c>
    </row>
    <row r="33" spans="1:29" x14ac:dyDescent="0.2">
      <c r="A33" t="s">
        <v>131</v>
      </c>
    </row>
    <row r="34" spans="1:29" x14ac:dyDescent="0.2">
      <c r="A34" t="s">
        <v>110</v>
      </c>
      <c r="B34" t="s">
        <v>80</v>
      </c>
      <c r="C34" t="s">
        <v>78</v>
      </c>
      <c r="D34" t="s">
        <v>99</v>
      </c>
      <c r="E34" t="s">
        <v>100</v>
      </c>
      <c r="F34" t="s">
        <v>83</v>
      </c>
      <c r="G34" t="s">
        <v>82</v>
      </c>
      <c r="H34" t="s">
        <v>9</v>
      </c>
      <c r="I34" t="s">
        <v>10</v>
      </c>
      <c r="J34" t="s">
        <v>76</v>
      </c>
      <c r="K34" t="s">
        <v>77</v>
      </c>
      <c r="L34" t="s">
        <v>54</v>
      </c>
      <c r="M34" t="s">
        <v>79</v>
      </c>
      <c r="N34" t="s">
        <v>142</v>
      </c>
      <c r="O34" t="s">
        <v>103</v>
      </c>
      <c r="P34" t="s">
        <v>102</v>
      </c>
      <c r="Q34" t="s">
        <v>94</v>
      </c>
      <c r="R34" t="s">
        <v>105</v>
      </c>
      <c r="S34" t="s">
        <v>104</v>
      </c>
      <c r="T34" s="20" t="s">
        <v>0</v>
      </c>
      <c r="U34" s="20" t="s">
        <v>1</v>
      </c>
      <c r="V34" s="20" t="s">
        <v>2</v>
      </c>
      <c r="W34" s="20" t="s">
        <v>90</v>
      </c>
      <c r="X34" s="20" t="s">
        <v>91</v>
      </c>
      <c r="Y34" s="20" t="s">
        <v>88</v>
      </c>
      <c r="Z34" s="20" t="s">
        <v>89</v>
      </c>
      <c r="AA34" s="20" t="s">
        <v>138</v>
      </c>
      <c r="AB34" s="20" t="s">
        <v>139</v>
      </c>
      <c r="AC34" s="20" t="s">
        <v>137</v>
      </c>
    </row>
    <row r="35" spans="1:29" x14ac:dyDescent="0.2">
      <c r="A35" t="s">
        <v>111</v>
      </c>
      <c r="B35" t="s">
        <v>81</v>
      </c>
      <c r="C35" t="str">
        <f>"Honolulu_"&amp;MID(C8, 2, 2)</f>
        <v>Honolulu_8</v>
      </c>
      <c r="D35" t="s">
        <v>101</v>
      </c>
      <c r="E35" t="s">
        <v>101</v>
      </c>
      <c r="F35">
        <v>1954</v>
      </c>
      <c r="G35">
        <f t="shared" ref="G35:G57" si="4">M35</f>
        <v>53.4</v>
      </c>
      <c r="H35">
        <f>0.5*1386000/SUM($G$35:$G$50,$G$56:$G$57)</f>
        <v>530.5872444682642</v>
      </c>
      <c r="I35">
        <v>0</v>
      </c>
      <c r="L35">
        <v>2021</v>
      </c>
      <c r="M35">
        <f t="shared" ref="M35:M54" si="5">MAX(F8:J8)</f>
        <v>53.4</v>
      </c>
      <c r="N35">
        <v>0</v>
      </c>
      <c r="O35">
        <f t="shared" ref="O35:O57" si="6">P8</f>
        <v>0.32</v>
      </c>
      <c r="P35">
        <f t="shared" ref="P35:P57" si="7">R8</f>
        <v>0.151</v>
      </c>
      <c r="Q35">
        <v>0</v>
      </c>
      <c r="R35" t="str">
        <f t="shared" ref="R35:R57" si="8">D8</f>
        <v>LSFO</v>
      </c>
      <c r="S35" s="32">
        <f t="shared" ref="S35:S57" si="9">O8</f>
        <v>11265</v>
      </c>
      <c r="T35">
        <v>0</v>
      </c>
      <c r="U35">
        <v>1</v>
      </c>
      <c r="V35">
        <v>0</v>
      </c>
      <c r="W35">
        <v>0</v>
      </c>
      <c r="X35">
        <f>W35</f>
        <v>0</v>
      </c>
      <c r="Y35">
        <v>0</v>
      </c>
      <c r="Z35">
        <v>0</v>
      </c>
      <c r="AA35">
        <v>3</v>
      </c>
      <c r="AB35">
        <v>5</v>
      </c>
      <c r="AC35">
        <v>190</v>
      </c>
    </row>
    <row r="36" spans="1:29" x14ac:dyDescent="0.2">
      <c r="A36" t="s">
        <v>111</v>
      </c>
      <c r="B36" t="s">
        <v>81</v>
      </c>
      <c r="C36" t="str">
        <f>"Honolulu_"&amp;MID(C9, 2, 2)</f>
        <v>Honolulu_9</v>
      </c>
      <c r="D36" t="s">
        <v>101</v>
      </c>
      <c r="E36" t="s">
        <v>101</v>
      </c>
      <c r="F36">
        <v>1957</v>
      </c>
      <c r="G36">
        <f t="shared" si="4"/>
        <v>54.4</v>
      </c>
      <c r="H36">
        <f t="shared" ref="H36:H50" si="10">0.5*1386000/SUM($G$35:$G$50,$G$56:$G$57)</f>
        <v>530.5872444682642</v>
      </c>
      <c r="I36">
        <v>0</v>
      </c>
      <c r="L36">
        <v>2021</v>
      </c>
      <c r="M36">
        <f t="shared" si="5"/>
        <v>54.4</v>
      </c>
      <c r="N36">
        <v>0</v>
      </c>
      <c r="O36">
        <f t="shared" si="6"/>
        <v>0.32</v>
      </c>
      <c r="P36">
        <f t="shared" si="7"/>
        <v>0.151</v>
      </c>
      <c r="Q36">
        <v>0</v>
      </c>
      <c r="R36" t="str">
        <f t="shared" si="8"/>
        <v>LSFO</v>
      </c>
      <c r="S36" s="32">
        <f t="shared" si="9"/>
        <v>11400</v>
      </c>
      <c r="T36">
        <v>0</v>
      </c>
      <c r="U36">
        <v>1</v>
      </c>
      <c r="V36">
        <v>0</v>
      </c>
      <c r="W36">
        <v>0</v>
      </c>
      <c r="X36">
        <f t="shared" ref="X36:X57" si="11">W36</f>
        <v>0</v>
      </c>
      <c r="Y36">
        <v>0</v>
      </c>
      <c r="Z36">
        <v>0</v>
      </c>
      <c r="AA36">
        <v>3</v>
      </c>
      <c r="AB36">
        <v>5</v>
      </c>
      <c r="AC36">
        <v>190</v>
      </c>
    </row>
    <row r="37" spans="1:29" x14ac:dyDescent="0.2">
      <c r="A37" t="s">
        <v>111</v>
      </c>
      <c r="B37" t="s">
        <v>81</v>
      </c>
      <c r="C37" t="str">
        <f t="shared" ref="C37:C44" si="12">"Waiau_"&amp;MID(C10, 2, 2)</f>
        <v>Waiau_3</v>
      </c>
      <c r="D37" t="s">
        <v>101</v>
      </c>
      <c r="E37" t="s">
        <v>101</v>
      </c>
      <c r="F37">
        <v>1947</v>
      </c>
      <c r="G37">
        <f t="shared" si="4"/>
        <v>46.6</v>
      </c>
      <c r="H37">
        <f t="shared" si="10"/>
        <v>530.5872444682642</v>
      </c>
      <c r="I37">
        <v>0</v>
      </c>
      <c r="L37">
        <v>2020</v>
      </c>
      <c r="M37">
        <f t="shared" si="5"/>
        <v>46.6</v>
      </c>
      <c r="N37">
        <v>0</v>
      </c>
      <c r="O37">
        <f t="shared" si="6"/>
        <v>0.32</v>
      </c>
      <c r="P37">
        <f t="shared" si="7"/>
        <v>0.15</v>
      </c>
      <c r="Q37">
        <v>0</v>
      </c>
      <c r="R37" t="str">
        <f t="shared" si="8"/>
        <v>LSFO</v>
      </c>
      <c r="S37" s="32">
        <f t="shared" si="9"/>
        <v>11904</v>
      </c>
      <c r="T37">
        <v>0</v>
      </c>
      <c r="U37">
        <v>1</v>
      </c>
      <c r="V37">
        <v>0</v>
      </c>
      <c r="W37">
        <v>0</v>
      </c>
      <c r="X37">
        <f t="shared" si="11"/>
        <v>0</v>
      </c>
      <c r="Y37">
        <v>0</v>
      </c>
      <c r="Z37">
        <v>0</v>
      </c>
      <c r="AA37">
        <v>3</v>
      </c>
      <c r="AB37">
        <v>5</v>
      </c>
      <c r="AC37">
        <v>337</v>
      </c>
    </row>
    <row r="38" spans="1:29" x14ac:dyDescent="0.2">
      <c r="A38" t="s">
        <v>111</v>
      </c>
      <c r="B38" t="s">
        <v>81</v>
      </c>
      <c r="C38" t="str">
        <f t="shared" si="12"/>
        <v>Waiau_4</v>
      </c>
      <c r="D38" t="s">
        <v>101</v>
      </c>
      <c r="E38" t="s">
        <v>101</v>
      </c>
      <c r="F38">
        <v>1950</v>
      </c>
      <c r="G38">
        <f t="shared" si="4"/>
        <v>46.6</v>
      </c>
      <c r="H38">
        <f t="shared" si="10"/>
        <v>530.5872444682642</v>
      </c>
      <c r="I38">
        <v>0</v>
      </c>
      <c r="L38">
        <v>2020</v>
      </c>
      <c r="M38">
        <f t="shared" si="5"/>
        <v>46.6</v>
      </c>
      <c r="N38">
        <v>0</v>
      </c>
      <c r="O38">
        <f t="shared" si="6"/>
        <v>0.32</v>
      </c>
      <c r="P38">
        <f t="shared" si="7"/>
        <v>0.12</v>
      </c>
      <c r="Q38">
        <v>0</v>
      </c>
      <c r="R38" t="str">
        <f t="shared" si="8"/>
        <v>LSFO</v>
      </c>
      <c r="S38" s="32">
        <f t="shared" si="9"/>
        <v>11832</v>
      </c>
      <c r="T38">
        <v>0</v>
      </c>
      <c r="U38">
        <v>1</v>
      </c>
      <c r="V38">
        <v>0</v>
      </c>
      <c r="W38">
        <v>0</v>
      </c>
      <c r="X38">
        <f t="shared" si="11"/>
        <v>0</v>
      </c>
      <c r="Y38">
        <v>0</v>
      </c>
      <c r="Z38">
        <v>0</v>
      </c>
      <c r="AA38">
        <v>3</v>
      </c>
      <c r="AB38">
        <v>5</v>
      </c>
      <c r="AC38">
        <v>337</v>
      </c>
    </row>
    <row r="39" spans="1:29" x14ac:dyDescent="0.2">
      <c r="A39" t="s">
        <v>111</v>
      </c>
      <c r="B39" t="s">
        <v>81</v>
      </c>
      <c r="C39" t="str">
        <f t="shared" si="12"/>
        <v>Waiau_5</v>
      </c>
      <c r="D39" t="s">
        <v>101</v>
      </c>
      <c r="E39" t="s">
        <v>101</v>
      </c>
      <c r="F39">
        <v>1959</v>
      </c>
      <c r="G39">
        <f t="shared" si="4"/>
        <v>54.5</v>
      </c>
      <c r="H39">
        <f t="shared" si="10"/>
        <v>530.5872444682642</v>
      </c>
      <c r="I39">
        <v>0</v>
      </c>
      <c r="L39">
        <v>2020</v>
      </c>
      <c r="M39">
        <f t="shared" si="5"/>
        <v>54.5</v>
      </c>
      <c r="N39">
        <v>0</v>
      </c>
      <c r="O39">
        <f t="shared" si="6"/>
        <v>0.32</v>
      </c>
      <c r="P39">
        <f t="shared" si="7"/>
        <v>4.7E-2</v>
      </c>
      <c r="Q39">
        <v>0</v>
      </c>
      <c r="R39" t="str">
        <f t="shared" si="8"/>
        <v>LSFO</v>
      </c>
      <c r="S39" s="32">
        <f t="shared" si="9"/>
        <v>11526</v>
      </c>
      <c r="T39">
        <v>0</v>
      </c>
      <c r="U39">
        <v>1</v>
      </c>
      <c r="V39">
        <v>0</v>
      </c>
      <c r="W39">
        <v>0</v>
      </c>
      <c r="X39">
        <f t="shared" si="11"/>
        <v>0</v>
      </c>
      <c r="Y39">
        <v>0</v>
      </c>
      <c r="Z39">
        <v>0</v>
      </c>
      <c r="AA39">
        <v>3</v>
      </c>
      <c r="AB39">
        <v>5</v>
      </c>
      <c r="AC39">
        <v>277</v>
      </c>
    </row>
    <row r="40" spans="1:29" x14ac:dyDescent="0.2">
      <c r="A40" t="s">
        <v>111</v>
      </c>
      <c r="B40" t="s">
        <v>81</v>
      </c>
      <c r="C40" t="str">
        <f t="shared" si="12"/>
        <v>Waiau_6</v>
      </c>
      <c r="D40" t="s">
        <v>101</v>
      </c>
      <c r="E40" t="s">
        <v>101</v>
      </c>
      <c r="F40">
        <v>1961</v>
      </c>
      <c r="G40">
        <f t="shared" si="4"/>
        <v>53.5</v>
      </c>
      <c r="H40">
        <f t="shared" si="10"/>
        <v>530.5872444682642</v>
      </c>
      <c r="I40">
        <v>0</v>
      </c>
      <c r="L40">
        <v>2022</v>
      </c>
      <c r="M40">
        <f t="shared" si="5"/>
        <v>53.5</v>
      </c>
      <c r="N40">
        <v>0</v>
      </c>
      <c r="O40">
        <f t="shared" si="6"/>
        <v>0.32</v>
      </c>
      <c r="P40">
        <f t="shared" si="7"/>
        <v>4.7E-2</v>
      </c>
      <c r="Q40">
        <v>0</v>
      </c>
      <c r="R40" t="str">
        <f t="shared" si="8"/>
        <v>LSFO</v>
      </c>
      <c r="S40" s="32">
        <f t="shared" si="9"/>
        <v>11618</v>
      </c>
      <c r="T40">
        <v>0</v>
      </c>
      <c r="U40">
        <v>1</v>
      </c>
      <c r="V40">
        <v>0</v>
      </c>
      <c r="W40">
        <v>0</v>
      </c>
      <c r="X40">
        <f t="shared" si="11"/>
        <v>0</v>
      </c>
      <c r="Y40">
        <v>0</v>
      </c>
      <c r="Z40">
        <v>0</v>
      </c>
      <c r="AA40">
        <v>3</v>
      </c>
      <c r="AB40">
        <v>5</v>
      </c>
      <c r="AC40">
        <v>277</v>
      </c>
    </row>
    <row r="41" spans="1:29" x14ac:dyDescent="0.2">
      <c r="A41" t="s">
        <v>111</v>
      </c>
      <c r="B41" t="s">
        <v>81</v>
      </c>
      <c r="C41" t="str">
        <f t="shared" si="12"/>
        <v>Waiau_7</v>
      </c>
      <c r="D41" t="s">
        <v>101</v>
      </c>
      <c r="E41" t="s">
        <v>101</v>
      </c>
      <c r="F41">
        <v>1966</v>
      </c>
      <c r="G41">
        <f t="shared" si="4"/>
        <v>82.9</v>
      </c>
      <c r="H41">
        <f t="shared" si="10"/>
        <v>530.5872444682642</v>
      </c>
      <c r="I41">
        <v>0</v>
      </c>
      <c r="L41">
        <v>2022</v>
      </c>
      <c r="M41">
        <f t="shared" si="5"/>
        <v>82.9</v>
      </c>
      <c r="N41">
        <v>0</v>
      </c>
      <c r="O41">
        <f t="shared" si="6"/>
        <v>0.32</v>
      </c>
      <c r="P41">
        <f t="shared" si="7"/>
        <v>5.1999999999999998E-2</v>
      </c>
      <c r="Q41">
        <v>0</v>
      </c>
      <c r="R41" t="str">
        <f t="shared" si="8"/>
        <v>LSFO</v>
      </c>
      <c r="S41" s="32">
        <f t="shared" si="9"/>
        <v>10600</v>
      </c>
      <c r="T41">
        <v>0</v>
      </c>
      <c r="U41">
        <v>1</v>
      </c>
      <c r="V41">
        <v>0</v>
      </c>
      <c r="W41">
        <v>1</v>
      </c>
      <c r="X41">
        <f t="shared" si="11"/>
        <v>1</v>
      </c>
      <c r="Y41">
        <v>0</v>
      </c>
      <c r="Z41">
        <v>0</v>
      </c>
      <c r="AA41">
        <v>3</v>
      </c>
      <c r="AB41">
        <v>6</v>
      </c>
      <c r="AC41">
        <v>933</v>
      </c>
    </row>
    <row r="42" spans="1:29" x14ac:dyDescent="0.2">
      <c r="A42" t="s">
        <v>111</v>
      </c>
      <c r="B42" t="s">
        <v>81</v>
      </c>
      <c r="C42" t="str">
        <f t="shared" si="12"/>
        <v>Waiau_8</v>
      </c>
      <c r="D42" t="s">
        <v>101</v>
      </c>
      <c r="E42" t="s">
        <v>101</v>
      </c>
      <c r="F42">
        <v>1968</v>
      </c>
      <c r="G42">
        <f t="shared" si="4"/>
        <v>86.1</v>
      </c>
      <c r="H42">
        <f t="shared" si="10"/>
        <v>530.5872444682642</v>
      </c>
      <c r="I42">
        <v>0</v>
      </c>
      <c r="L42">
        <v>2022</v>
      </c>
      <c r="M42">
        <f t="shared" si="5"/>
        <v>86.1</v>
      </c>
      <c r="N42">
        <v>0</v>
      </c>
      <c r="O42">
        <f t="shared" si="6"/>
        <v>0.32</v>
      </c>
      <c r="P42">
        <f t="shared" si="7"/>
        <v>5.1999999999999998E-2</v>
      </c>
      <c r="Q42">
        <v>0</v>
      </c>
      <c r="R42" t="str">
        <f t="shared" si="8"/>
        <v>LSFO</v>
      </c>
      <c r="S42" s="32">
        <f t="shared" si="9"/>
        <v>10204</v>
      </c>
      <c r="T42">
        <v>0</v>
      </c>
      <c r="U42">
        <v>1</v>
      </c>
      <c r="V42">
        <v>0</v>
      </c>
      <c r="W42">
        <v>1</v>
      </c>
      <c r="X42">
        <f t="shared" si="11"/>
        <v>1</v>
      </c>
      <c r="Y42">
        <v>0</v>
      </c>
      <c r="Z42">
        <v>0</v>
      </c>
      <c r="AA42">
        <v>3</v>
      </c>
      <c r="AB42">
        <v>6</v>
      </c>
      <c r="AC42">
        <v>933</v>
      </c>
    </row>
    <row r="43" spans="1:29" x14ac:dyDescent="0.2">
      <c r="A43" t="s">
        <v>111</v>
      </c>
      <c r="B43" t="s">
        <v>81</v>
      </c>
      <c r="C43" t="str">
        <f t="shared" si="12"/>
        <v>Waiau_9</v>
      </c>
      <c r="D43" t="s">
        <v>101</v>
      </c>
      <c r="E43" t="s">
        <v>101</v>
      </c>
      <c r="F43">
        <v>1973</v>
      </c>
      <c r="G43">
        <f t="shared" si="4"/>
        <v>52.9</v>
      </c>
      <c r="H43">
        <f t="shared" si="10"/>
        <v>530.5872444682642</v>
      </c>
      <c r="I43">
        <v>0</v>
      </c>
      <c r="L43">
        <v>2050</v>
      </c>
      <c r="M43">
        <f t="shared" si="5"/>
        <v>52.9</v>
      </c>
      <c r="N43">
        <v>0</v>
      </c>
      <c r="O43">
        <f t="shared" si="6"/>
        <v>3.3738095238095238</v>
      </c>
      <c r="P43">
        <f t="shared" si="7"/>
        <v>0.109</v>
      </c>
      <c r="Q43">
        <v>0</v>
      </c>
      <c r="R43" t="str">
        <f t="shared" si="8"/>
        <v>Diesel</v>
      </c>
      <c r="S43" s="32">
        <f t="shared" si="9"/>
        <v>13115</v>
      </c>
      <c r="T43">
        <v>0</v>
      </c>
      <c r="U43">
        <v>1</v>
      </c>
      <c r="V43">
        <v>0</v>
      </c>
      <c r="W43">
        <v>0</v>
      </c>
      <c r="X43">
        <f t="shared" si="11"/>
        <v>0</v>
      </c>
      <c r="Y43">
        <v>0</v>
      </c>
      <c r="Z43">
        <v>0</v>
      </c>
      <c r="AA43">
        <v>1</v>
      </c>
      <c r="AB43">
        <v>1</v>
      </c>
      <c r="AC43">
        <v>36</v>
      </c>
    </row>
    <row r="44" spans="1:29" x14ac:dyDescent="0.2">
      <c r="A44" t="s">
        <v>111</v>
      </c>
      <c r="B44" t="s">
        <v>81</v>
      </c>
      <c r="C44" t="str">
        <f t="shared" si="12"/>
        <v>Waiau_10</v>
      </c>
      <c r="D44" t="s">
        <v>101</v>
      </c>
      <c r="E44" t="s">
        <v>101</v>
      </c>
      <c r="F44">
        <v>1973</v>
      </c>
      <c r="G44">
        <f t="shared" si="4"/>
        <v>49.9</v>
      </c>
      <c r="H44">
        <f t="shared" si="10"/>
        <v>530.5872444682642</v>
      </c>
      <c r="I44">
        <v>0</v>
      </c>
      <c r="L44">
        <v>2050</v>
      </c>
      <c r="M44">
        <f t="shared" si="5"/>
        <v>49.9</v>
      </c>
      <c r="N44">
        <v>0</v>
      </c>
      <c r="O44">
        <f t="shared" si="6"/>
        <v>3.5551971326164877</v>
      </c>
      <c r="P44">
        <f t="shared" si="7"/>
        <v>0.109</v>
      </c>
      <c r="Q44">
        <v>0</v>
      </c>
      <c r="R44" t="str">
        <f t="shared" si="8"/>
        <v>Diesel</v>
      </c>
      <c r="S44" s="32">
        <f t="shared" si="9"/>
        <v>12499</v>
      </c>
      <c r="T44">
        <v>0</v>
      </c>
      <c r="U44">
        <v>1</v>
      </c>
      <c r="V44">
        <v>0</v>
      </c>
      <c r="W44">
        <v>0</v>
      </c>
      <c r="X44">
        <f t="shared" si="11"/>
        <v>0</v>
      </c>
      <c r="Y44">
        <v>0</v>
      </c>
      <c r="Z44">
        <v>0</v>
      </c>
      <c r="AA44">
        <v>1</v>
      </c>
      <c r="AB44">
        <v>1</v>
      </c>
      <c r="AC44">
        <v>33</v>
      </c>
    </row>
    <row r="45" spans="1:29" x14ac:dyDescent="0.2">
      <c r="A45" t="s">
        <v>111</v>
      </c>
      <c r="B45" t="s">
        <v>81</v>
      </c>
      <c r="C45" t="str">
        <f t="shared" ref="C45:C50" si="13">"Kahe_"&amp;MID(C18, 2, 2)</f>
        <v>Kahe_1</v>
      </c>
      <c r="D45" t="s">
        <v>101</v>
      </c>
      <c r="E45" t="s">
        <v>101</v>
      </c>
      <c r="F45">
        <v>1963</v>
      </c>
      <c r="G45">
        <f t="shared" si="4"/>
        <v>82.1</v>
      </c>
      <c r="H45">
        <f t="shared" si="10"/>
        <v>530.5872444682642</v>
      </c>
      <c r="I45">
        <v>0</v>
      </c>
      <c r="L45">
        <v>2022</v>
      </c>
      <c r="M45">
        <f t="shared" si="5"/>
        <v>82.1</v>
      </c>
      <c r="N45">
        <v>0</v>
      </c>
      <c r="O45">
        <f t="shared" si="6"/>
        <v>0.32</v>
      </c>
      <c r="P45">
        <f t="shared" si="7"/>
        <v>3.5999999999999997E-2</v>
      </c>
      <c r="Q45">
        <v>0</v>
      </c>
      <c r="R45" t="str">
        <f t="shared" si="8"/>
        <v>LSFO</v>
      </c>
      <c r="S45" s="32">
        <f t="shared" si="9"/>
        <v>10101</v>
      </c>
      <c r="T45">
        <v>0</v>
      </c>
      <c r="U45">
        <v>1</v>
      </c>
      <c r="V45">
        <v>0</v>
      </c>
      <c r="W45">
        <v>1</v>
      </c>
      <c r="X45">
        <f t="shared" si="11"/>
        <v>1</v>
      </c>
      <c r="Y45">
        <v>0</v>
      </c>
      <c r="Z45">
        <v>0</v>
      </c>
      <c r="AA45">
        <v>3</v>
      </c>
      <c r="AB45">
        <v>6</v>
      </c>
      <c r="AC45">
        <v>933</v>
      </c>
    </row>
    <row r="46" spans="1:29" x14ac:dyDescent="0.2">
      <c r="A46" t="s">
        <v>111</v>
      </c>
      <c r="B46" t="s">
        <v>81</v>
      </c>
      <c r="C46" t="str">
        <f t="shared" si="13"/>
        <v>Kahe_2</v>
      </c>
      <c r="D46" t="s">
        <v>101</v>
      </c>
      <c r="E46" t="s">
        <v>101</v>
      </c>
      <c r="F46">
        <v>1964</v>
      </c>
      <c r="G46">
        <f t="shared" si="4"/>
        <v>82.1</v>
      </c>
      <c r="H46">
        <f t="shared" si="10"/>
        <v>530.5872444682642</v>
      </c>
      <c r="I46">
        <v>0</v>
      </c>
      <c r="L46">
        <v>2022</v>
      </c>
      <c r="M46">
        <f t="shared" si="5"/>
        <v>82.1</v>
      </c>
      <c r="N46">
        <v>0</v>
      </c>
      <c r="O46">
        <f t="shared" si="6"/>
        <v>0.32</v>
      </c>
      <c r="P46">
        <f t="shared" si="7"/>
        <v>3.5999999999999997E-2</v>
      </c>
      <c r="Q46">
        <v>0</v>
      </c>
      <c r="R46" t="str">
        <f t="shared" si="8"/>
        <v>LSFO</v>
      </c>
      <c r="S46" s="32">
        <f t="shared" si="9"/>
        <v>9915</v>
      </c>
      <c r="T46">
        <v>0</v>
      </c>
      <c r="U46">
        <v>1</v>
      </c>
      <c r="V46">
        <v>0</v>
      </c>
      <c r="W46">
        <v>1</v>
      </c>
      <c r="X46">
        <f t="shared" si="11"/>
        <v>1</v>
      </c>
      <c r="Y46">
        <v>0</v>
      </c>
      <c r="Z46">
        <v>0</v>
      </c>
      <c r="AA46">
        <v>3</v>
      </c>
      <c r="AB46">
        <v>6</v>
      </c>
      <c r="AC46">
        <v>933</v>
      </c>
    </row>
    <row r="47" spans="1:29" x14ac:dyDescent="0.2">
      <c r="A47" t="s">
        <v>111</v>
      </c>
      <c r="B47" t="s">
        <v>81</v>
      </c>
      <c r="C47" t="str">
        <f t="shared" si="13"/>
        <v>Kahe_3</v>
      </c>
      <c r="D47" t="s">
        <v>101</v>
      </c>
      <c r="E47" t="s">
        <v>101</v>
      </c>
      <c r="F47">
        <v>1970</v>
      </c>
      <c r="G47">
        <f t="shared" si="4"/>
        <v>86.1</v>
      </c>
      <c r="H47">
        <f t="shared" si="10"/>
        <v>530.5872444682642</v>
      </c>
      <c r="I47">
        <v>0</v>
      </c>
      <c r="L47">
        <v>2022</v>
      </c>
      <c r="M47">
        <f t="shared" si="5"/>
        <v>86.1</v>
      </c>
      <c r="N47">
        <v>0</v>
      </c>
      <c r="O47">
        <f t="shared" si="6"/>
        <v>0.32</v>
      </c>
      <c r="P47">
        <f t="shared" si="7"/>
        <v>5.1999999999999998E-2</v>
      </c>
      <c r="Q47">
        <v>0</v>
      </c>
      <c r="R47" t="str">
        <f t="shared" si="8"/>
        <v>LSFO</v>
      </c>
      <c r="S47" s="32">
        <f t="shared" si="9"/>
        <v>9703</v>
      </c>
      <c r="T47">
        <v>0</v>
      </c>
      <c r="U47">
        <v>1</v>
      </c>
      <c r="V47">
        <v>0</v>
      </c>
      <c r="W47">
        <v>1</v>
      </c>
      <c r="X47">
        <f t="shared" si="11"/>
        <v>1</v>
      </c>
      <c r="Y47">
        <v>0</v>
      </c>
      <c r="Z47">
        <v>0</v>
      </c>
      <c r="AA47">
        <v>3</v>
      </c>
      <c r="AB47">
        <v>6</v>
      </c>
      <c r="AC47">
        <v>933</v>
      </c>
    </row>
    <row r="48" spans="1:29" x14ac:dyDescent="0.2">
      <c r="A48" t="s">
        <v>111</v>
      </c>
      <c r="B48" t="s">
        <v>81</v>
      </c>
      <c r="C48" t="str">
        <f t="shared" si="13"/>
        <v>Kahe_4</v>
      </c>
      <c r="D48" t="s">
        <v>101</v>
      </c>
      <c r="E48" t="s">
        <v>101</v>
      </c>
      <c r="F48">
        <v>1972</v>
      </c>
      <c r="G48">
        <f t="shared" si="4"/>
        <v>85.3</v>
      </c>
      <c r="H48">
        <f t="shared" si="10"/>
        <v>530.5872444682642</v>
      </c>
      <c r="I48">
        <v>0</v>
      </c>
      <c r="L48">
        <v>2022</v>
      </c>
      <c r="M48">
        <f t="shared" si="5"/>
        <v>85.3</v>
      </c>
      <c r="N48">
        <v>0</v>
      </c>
      <c r="O48">
        <f t="shared" si="6"/>
        <v>0.32</v>
      </c>
      <c r="P48">
        <f t="shared" si="7"/>
        <v>5.1999999999999998E-2</v>
      </c>
      <c r="Q48">
        <v>0</v>
      </c>
      <c r="R48" t="str">
        <f t="shared" si="8"/>
        <v>LSFO</v>
      </c>
      <c r="S48" s="32">
        <f t="shared" si="9"/>
        <v>9927</v>
      </c>
      <c r="T48">
        <v>0</v>
      </c>
      <c r="U48">
        <v>1</v>
      </c>
      <c r="V48">
        <v>0</v>
      </c>
      <c r="W48">
        <v>1</v>
      </c>
      <c r="X48">
        <f t="shared" si="11"/>
        <v>1</v>
      </c>
      <c r="Y48">
        <v>0</v>
      </c>
      <c r="Z48">
        <v>0</v>
      </c>
      <c r="AA48">
        <v>3</v>
      </c>
      <c r="AB48">
        <v>6</v>
      </c>
      <c r="AC48">
        <v>933</v>
      </c>
    </row>
    <row r="49" spans="1:53" x14ac:dyDescent="0.2">
      <c r="A49" t="s">
        <v>111</v>
      </c>
      <c r="B49" t="s">
        <v>81</v>
      </c>
      <c r="C49" t="str">
        <f t="shared" si="13"/>
        <v>Kahe_5</v>
      </c>
      <c r="D49" t="s">
        <v>101</v>
      </c>
      <c r="E49" t="s">
        <v>101</v>
      </c>
      <c r="F49">
        <v>1974</v>
      </c>
      <c r="G49">
        <f t="shared" si="4"/>
        <v>134.30000000000001</v>
      </c>
      <c r="H49">
        <f t="shared" si="10"/>
        <v>530.5872444682642</v>
      </c>
      <c r="I49">
        <v>0</v>
      </c>
      <c r="L49">
        <v>2045</v>
      </c>
      <c r="M49">
        <f t="shared" si="5"/>
        <v>134.30000000000001</v>
      </c>
      <c r="N49">
        <v>0</v>
      </c>
      <c r="O49">
        <f t="shared" si="6"/>
        <v>0.32</v>
      </c>
      <c r="P49">
        <f t="shared" si="7"/>
        <v>3.2000000000000001E-2</v>
      </c>
      <c r="Q49">
        <v>0</v>
      </c>
      <c r="R49" t="str">
        <f t="shared" si="8"/>
        <v>LSFO</v>
      </c>
      <c r="S49" s="32">
        <f t="shared" si="9"/>
        <v>9691</v>
      </c>
      <c r="T49">
        <v>0</v>
      </c>
      <c r="U49">
        <v>1</v>
      </c>
      <c r="V49">
        <v>0</v>
      </c>
      <c r="W49">
        <v>1</v>
      </c>
      <c r="X49">
        <f t="shared" si="11"/>
        <v>1</v>
      </c>
      <c r="Y49">
        <v>0</v>
      </c>
      <c r="Z49">
        <v>0</v>
      </c>
      <c r="AA49">
        <v>3</v>
      </c>
      <c r="AB49">
        <v>6</v>
      </c>
      <c r="AC49">
        <v>1352</v>
      </c>
    </row>
    <row r="50" spans="1:53" x14ac:dyDescent="0.2">
      <c r="A50" t="s">
        <v>111</v>
      </c>
      <c r="B50" t="s">
        <v>81</v>
      </c>
      <c r="C50" t="str">
        <f t="shared" si="13"/>
        <v>Kahe_6</v>
      </c>
      <c r="D50" t="s">
        <v>101</v>
      </c>
      <c r="E50" t="s">
        <v>101</v>
      </c>
      <c r="F50">
        <v>1981</v>
      </c>
      <c r="G50">
        <f t="shared" si="4"/>
        <v>134.4</v>
      </c>
      <c r="H50">
        <f t="shared" si="10"/>
        <v>530.5872444682642</v>
      </c>
      <c r="I50">
        <v>0</v>
      </c>
      <c r="L50">
        <v>2045</v>
      </c>
      <c r="M50">
        <f t="shared" si="5"/>
        <v>134.4</v>
      </c>
      <c r="N50">
        <v>0</v>
      </c>
      <c r="O50">
        <f t="shared" si="6"/>
        <v>0.32</v>
      </c>
      <c r="P50">
        <f t="shared" si="7"/>
        <v>2.1000000000000001E-2</v>
      </c>
      <c r="Q50">
        <v>0</v>
      </c>
      <c r="R50" t="str">
        <f t="shared" si="8"/>
        <v>LSFO</v>
      </c>
      <c r="S50" s="32">
        <f t="shared" si="9"/>
        <v>10059</v>
      </c>
      <c r="T50">
        <v>0</v>
      </c>
      <c r="U50">
        <v>1</v>
      </c>
      <c r="V50">
        <v>0</v>
      </c>
      <c r="W50">
        <v>1</v>
      </c>
      <c r="X50">
        <f t="shared" si="11"/>
        <v>1</v>
      </c>
      <c r="Y50">
        <v>0</v>
      </c>
      <c r="Z50">
        <v>0</v>
      </c>
      <c r="AA50">
        <v>3</v>
      </c>
      <c r="AB50">
        <v>6</v>
      </c>
      <c r="AC50">
        <v>2703</v>
      </c>
    </row>
    <row r="51" spans="1:53" ht="15" customHeight="1" x14ac:dyDescent="0.2">
      <c r="A51" t="s">
        <v>111</v>
      </c>
      <c r="B51" t="s">
        <v>81</v>
      </c>
      <c r="C51" s="21" t="str">
        <f>"Kalaeloa_CC"&amp;MID(C24, 4, 2)</f>
        <v>Kalaeloa_CC1</v>
      </c>
      <c r="D51" s="21" t="s">
        <v>101</v>
      </c>
      <c r="E51" s="21" t="s">
        <v>101</v>
      </c>
      <c r="F51" s="21">
        <v>1989</v>
      </c>
      <c r="G51">
        <f t="shared" si="4"/>
        <v>90</v>
      </c>
      <c r="H51">
        <v>1850</v>
      </c>
      <c r="I51">
        <v>0</v>
      </c>
      <c r="L51">
        <f t="shared" ref="L51:L57" si="14">F51+61</f>
        <v>2050</v>
      </c>
      <c r="M51">
        <f t="shared" si="5"/>
        <v>90</v>
      </c>
      <c r="N51">
        <v>0</v>
      </c>
      <c r="O51">
        <f t="shared" si="6"/>
        <v>6</v>
      </c>
      <c r="P51">
        <f t="shared" si="7"/>
        <v>1.4999999999999999E-2</v>
      </c>
      <c r="Q51">
        <v>0</v>
      </c>
      <c r="R51" t="str">
        <f t="shared" si="8"/>
        <v>LSFO</v>
      </c>
      <c r="S51" s="32">
        <f t="shared" si="9"/>
        <v>8585</v>
      </c>
      <c r="T51">
        <v>0</v>
      </c>
      <c r="U51">
        <v>1</v>
      </c>
      <c r="V51">
        <v>0</v>
      </c>
      <c r="W51">
        <v>1</v>
      </c>
      <c r="X51">
        <f t="shared" si="11"/>
        <v>1</v>
      </c>
      <c r="Y51">
        <v>0</v>
      </c>
      <c r="Z51">
        <v>0</v>
      </c>
      <c r="AA51">
        <v>3</v>
      </c>
      <c r="AB51">
        <v>5</v>
      </c>
      <c r="AC51">
        <v>800</v>
      </c>
    </row>
    <row r="52" spans="1:53" x14ac:dyDescent="0.2">
      <c r="A52" t="s">
        <v>111</v>
      </c>
      <c r="B52" t="s">
        <v>81</v>
      </c>
      <c r="C52" s="21" t="str">
        <f>"Kalaeloa_CC"&amp;MID(C25, 4, 2)</f>
        <v>Kalaeloa_CC2</v>
      </c>
      <c r="D52" s="21" t="s">
        <v>101</v>
      </c>
      <c r="E52" s="21" t="s">
        <v>101</v>
      </c>
      <c r="F52" s="21">
        <v>1991</v>
      </c>
      <c r="G52">
        <f t="shared" si="4"/>
        <v>90</v>
      </c>
      <c r="H52">
        <v>1850</v>
      </c>
      <c r="I52">
        <v>0</v>
      </c>
      <c r="L52">
        <f t="shared" si="14"/>
        <v>2052</v>
      </c>
      <c r="M52">
        <f t="shared" si="5"/>
        <v>90</v>
      </c>
      <c r="N52">
        <v>0</v>
      </c>
      <c r="O52">
        <f t="shared" si="6"/>
        <v>6</v>
      </c>
      <c r="P52">
        <f t="shared" si="7"/>
        <v>1.4999999999999999E-2</v>
      </c>
      <c r="Q52">
        <v>0</v>
      </c>
      <c r="R52" t="str">
        <f t="shared" si="8"/>
        <v>LSFO</v>
      </c>
      <c r="S52" s="32">
        <f t="shared" si="9"/>
        <v>8585</v>
      </c>
      <c r="T52">
        <v>0</v>
      </c>
      <c r="U52">
        <v>1</v>
      </c>
      <c r="V52">
        <v>0</v>
      </c>
      <c r="W52">
        <v>0</v>
      </c>
      <c r="X52">
        <f t="shared" si="11"/>
        <v>0</v>
      </c>
      <c r="Y52">
        <v>0</v>
      </c>
      <c r="Z52">
        <v>0</v>
      </c>
      <c r="AA52">
        <v>3</v>
      </c>
      <c r="AB52">
        <v>5</v>
      </c>
      <c r="AC52">
        <v>800</v>
      </c>
    </row>
    <row r="53" spans="1:53" x14ac:dyDescent="0.2">
      <c r="A53" t="s">
        <v>111</v>
      </c>
      <c r="B53" t="s">
        <v>81</v>
      </c>
      <c r="C53" s="21" t="str">
        <f>"Kalaeloa_CC"&amp;MID(C26, 4, 2)</f>
        <v>Kalaeloa_CC3</v>
      </c>
      <c r="D53" s="21" t="s">
        <v>101</v>
      </c>
      <c r="E53" s="21" t="s">
        <v>101</v>
      </c>
      <c r="F53" s="21">
        <v>1991</v>
      </c>
      <c r="G53">
        <f t="shared" si="4"/>
        <v>28</v>
      </c>
      <c r="H53">
        <v>1850</v>
      </c>
      <c r="I53">
        <v>0</v>
      </c>
      <c r="L53">
        <f t="shared" si="14"/>
        <v>2052</v>
      </c>
      <c r="M53">
        <f t="shared" si="5"/>
        <v>28</v>
      </c>
      <c r="N53">
        <v>0</v>
      </c>
      <c r="O53">
        <f t="shared" si="6"/>
        <v>6</v>
      </c>
      <c r="P53">
        <f t="shared" si="7"/>
        <v>1.4999999999999999E-2</v>
      </c>
      <c r="Q53">
        <v>0</v>
      </c>
      <c r="R53" t="str">
        <f t="shared" si="8"/>
        <v>LSFO</v>
      </c>
      <c r="S53" s="32">
        <f t="shared" si="9"/>
        <v>8654</v>
      </c>
      <c r="T53">
        <v>0</v>
      </c>
      <c r="U53">
        <v>1</v>
      </c>
      <c r="V53">
        <v>0</v>
      </c>
      <c r="W53">
        <v>0</v>
      </c>
      <c r="X53">
        <f t="shared" si="11"/>
        <v>0</v>
      </c>
      <c r="Y53">
        <v>0</v>
      </c>
      <c r="Z53">
        <v>0</v>
      </c>
      <c r="AA53">
        <v>1</v>
      </c>
      <c r="AB53">
        <v>3</v>
      </c>
      <c r="AC53">
        <v>0</v>
      </c>
    </row>
    <row r="54" spans="1:53" ht="15" customHeight="1" x14ac:dyDescent="0.2">
      <c r="A54" t="s">
        <v>111</v>
      </c>
      <c r="B54" t="s">
        <v>81</v>
      </c>
      <c r="C54" s="21" t="s">
        <v>5</v>
      </c>
      <c r="D54" s="21" t="s">
        <v>101</v>
      </c>
      <c r="E54" s="21" t="s">
        <v>101</v>
      </c>
      <c r="F54" s="21">
        <v>1992</v>
      </c>
      <c r="G54">
        <f>M54</f>
        <v>180</v>
      </c>
      <c r="H54">
        <v>1850</v>
      </c>
      <c r="I54">
        <v>0</v>
      </c>
      <c r="L54">
        <f>F54+30</f>
        <v>2022</v>
      </c>
      <c r="M54">
        <f t="shared" si="5"/>
        <v>180</v>
      </c>
      <c r="N54">
        <v>0</v>
      </c>
      <c r="O54">
        <f t="shared" si="6"/>
        <v>2</v>
      </c>
      <c r="P54">
        <f t="shared" si="7"/>
        <v>1.4999999999999999E-2</v>
      </c>
      <c r="Q54">
        <v>0</v>
      </c>
      <c r="R54" t="str">
        <f t="shared" si="8"/>
        <v>Coal</v>
      </c>
      <c r="S54" s="32">
        <f t="shared" si="9"/>
        <v>17314</v>
      </c>
      <c r="T54">
        <v>0</v>
      </c>
      <c r="U54">
        <v>1</v>
      </c>
      <c r="V54">
        <v>0</v>
      </c>
      <c r="W54">
        <v>1</v>
      </c>
      <c r="X54">
        <f t="shared" si="11"/>
        <v>1</v>
      </c>
      <c r="Y54">
        <v>0</v>
      </c>
      <c r="Z54">
        <v>0</v>
      </c>
      <c r="AA54">
        <v>24</v>
      </c>
      <c r="AB54">
        <v>24</v>
      </c>
      <c r="AC54">
        <v>0</v>
      </c>
    </row>
    <row r="55" spans="1:53" ht="15" customHeight="1" x14ac:dyDescent="0.2">
      <c r="A55" t="s">
        <v>111</v>
      </c>
      <c r="B55" t="s">
        <v>81</v>
      </c>
      <c r="C55" s="21" t="s">
        <v>8</v>
      </c>
      <c r="D55" s="21" t="s">
        <v>101</v>
      </c>
      <c r="E55" s="21" t="s">
        <v>101</v>
      </c>
      <c r="F55" s="21">
        <v>1989</v>
      </c>
      <c r="G55">
        <f t="shared" si="4"/>
        <v>73</v>
      </c>
      <c r="H55">
        <v>1850</v>
      </c>
      <c r="I55">
        <v>0</v>
      </c>
      <c r="L55">
        <f t="shared" si="14"/>
        <v>2050</v>
      </c>
      <c r="M55" s="18">
        <v>73</v>
      </c>
      <c r="N55">
        <v>0</v>
      </c>
      <c r="O55">
        <f t="shared" si="6"/>
        <v>18</v>
      </c>
      <c r="P55">
        <f t="shared" si="7"/>
        <v>0.1</v>
      </c>
      <c r="Q55">
        <f>1-42.8/M55</f>
        <v>0.41369863013698638</v>
      </c>
      <c r="R55" t="str">
        <f t="shared" si="8"/>
        <v>MSW</v>
      </c>
      <c r="S55" s="32">
        <f t="shared" si="9"/>
        <v>0</v>
      </c>
      <c r="T55">
        <v>0</v>
      </c>
      <c r="U55">
        <v>1</v>
      </c>
      <c r="V55">
        <v>0</v>
      </c>
      <c r="W55">
        <v>1</v>
      </c>
      <c r="X55">
        <f t="shared" si="11"/>
        <v>1</v>
      </c>
      <c r="Y55">
        <v>1</v>
      </c>
      <c r="Z55">
        <v>1</v>
      </c>
      <c r="AA55">
        <v>0</v>
      </c>
      <c r="AB55">
        <v>0</v>
      </c>
    </row>
    <row r="56" spans="1:53" x14ac:dyDescent="0.2">
      <c r="A56" t="s">
        <v>111</v>
      </c>
      <c r="B56" t="s">
        <v>81</v>
      </c>
      <c r="C56" t="s">
        <v>6</v>
      </c>
      <c r="D56" t="s">
        <v>101</v>
      </c>
      <c r="E56" t="s">
        <v>101</v>
      </c>
      <c r="F56">
        <v>2009</v>
      </c>
      <c r="G56">
        <f t="shared" si="4"/>
        <v>113</v>
      </c>
      <c r="H56">
        <f t="shared" ref="H56:H57" si="15">0.5*1386000/SUM($G$35:$G$50,$G$56:$G$57)</f>
        <v>530.5872444682642</v>
      </c>
      <c r="I56">
        <v>0</v>
      </c>
      <c r="L56">
        <f t="shared" si="14"/>
        <v>2070</v>
      </c>
      <c r="M56">
        <f>MAX(F29:J29)</f>
        <v>113</v>
      </c>
      <c r="N56">
        <v>0</v>
      </c>
      <c r="O56">
        <f t="shared" si="6"/>
        <v>40.76</v>
      </c>
      <c r="P56">
        <f t="shared" si="7"/>
        <v>0.15</v>
      </c>
      <c r="Q56">
        <v>0</v>
      </c>
      <c r="R56" t="str">
        <f t="shared" si="8"/>
        <v>Biodiesel</v>
      </c>
      <c r="S56" s="32">
        <f t="shared" si="9"/>
        <v>11688</v>
      </c>
      <c r="T56">
        <v>0</v>
      </c>
      <c r="U56">
        <v>1</v>
      </c>
      <c r="V56">
        <v>0</v>
      </c>
      <c r="W56">
        <v>0</v>
      </c>
      <c r="X56">
        <f t="shared" si="11"/>
        <v>0</v>
      </c>
      <c r="Y56">
        <v>0</v>
      </c>
      <c r="Z56">
        <v>0</v>
      </c>
      <c r="AA56">
        <v>1</v>
      </c>
      <c r="AB56">
        <v>1</v>
      </c>
      <c r="AC56">
        <v>126</v>
      </c>
    </row>
    <row r="57" spans="1:53" x14ac:dyDescent="0.2">
      <c r="A57" t="s">
        <v>111</v>
      </c>
      <c r="B57" t="s">
        <v>81</v>
      </c>
      <c r="C57" t="s">
        <v>7</v>
      </c>
      <c r="D57" t="s">
        <v>101</v>
      </c>
      <c r="E57" t="s">
        <v>101</v>
      </c>
      <c r="F57">
        <v>2013</v>
      </c>
      <c r="G57">
        <f t="shared" si="4"/>
        <v>8</v>
      </c>
      <c r="H57">
        <f t="shared" si="15"/>
        <v>530.5872444682642</v>
      </c>
      <c r="I57">
        <v>0</v>
      </c>
      <c r="L57">
        <f t="shared" si="14"/>
        <v>2074</v>
      </c>
      <c r="M57">
        <f>MAX(F30:J30)</f>
        <v>8</v>
      </c>
      <c r="N57">
        <v>0</v>
      </c>
      <c r="O57">
        <f t="shared" si="6"/>
        <v>37.46</v>
      </c>
      <c r="P57">
        <f t="shared" si="7"/>
        <v>0.57999999999999996</v>
      </c>
      <c r="Q57">
        <v>0</v>
      </c>
      <c r="R57" t="str">
        <f t="shared" si="8"/>
        <v>Biodiesel</v>
      </c>
      <c r="S57" s="32">
        <f t="shared" si="9"/>
        <v>10205</v>
      </c>
      <c r="T57">
        <v>0</v>
      </c>
      <c r="U57">
        <v>1</v>
      </c>
      <c r="V57">
        <v>0</v>
      </c>
      <c r="W57">
        <v>0</v>
      </c>
      <c r="X57">
        <f t="shared" si="11"/>
        <v>0</v>
      </c>
      <c r="Y57">
        <v>0</v>
      </c>
      <c r="Z57">
        <v>0</v>
      </c>
      <c r="AA57">
        <v>1</v>
      </c>
      <c r="AB57">
        <v>1</v>
      </c>
      <c r="AC57">
        <v>126</v>
      </c>
    </row>
    <row r="58" spans="1:53" x14ac:dyDescent="0.2">
      <c r="A58" t="s">
        <v>111</v>
      </c>
      <c r="B58" t="s">
        <v>81</v>
      </c>
      <c r="C58" t="s">
        <v>85</v>
      </c>
      <c r="F58">
        <v>2011</v>
      </c>
      <c r="G58">
        <v>30</v>
      </c>
      <c r="H58">
        <v>2190.1816436225786</v>
      </c>
      <c r="I58">
        <v>0</v>
      </c>
      <c r="J58">
        <v>21.681999999999999</v>
      </c>
      <c r="K58">
        <v>-157.976</v>
      </c>
      <c r="AC58" s="22"/>
      <c r="AD58" s="22"/>
      <c r="AE58" s="22"/>
      <c r="AF58" s="22"/>
      <c r="AG58" s="22"/>
      <c r="AH58" s="22"/>
      <c r="AI58" s="22"/>
      <c r="AJ58" s="22"/>
      <c r="AK58" s="22"/>
      <c r="AL58" s="22"/>
      <c r="AM58" s="23"/>
      <c r="AN58" s="22"/>
      <c r="AO58" s="22"/>
      <c r="AP58" s="23"/>
      <c r="AQ58" s="23"/>
      <c r="AR58" s="22"/>
      <c r="AS58" s="24"/>
      <c r="AT58" s="25"/>
      <c r="BA58" s="19"/>
    </row>
    <row r="59" spans="1:53" x14ac:dyDescent="0.2">
      <c r="A59" t="s">
        <v>111</v>
      </c>
      <c r="B59" t="s">
        <v>81</v>
      </c>
      <c r="C59" t="s">
        <v>85</v>
      </c>
      <c r="F59">
        <v>2012</v>
      </c>
      <c r="G59">
        <v>69</v>
      </c>
      <c r="H59">
        <v>2190.1816436225786</v>
      </c>
      <c r="I59">
        <v>0</v>
      </c>
      <c r="J59">
        <v>21.62</v>
      </c>
      <c r="K59">
        <v>-158.048</v>
      </c>
      <c r="Q59" t="s">
        <v>98</v>
      </c>
    </row>
    <row r="60" spans="1:53" x14ac:dyDescent="0.2">
      <c r="A60" t="s">
        <v>111</v>
      </c>
      <c r="B60" t="s">
        <v>81</v>
      </c>
      <c r="C60" t="s">
        <v>3</v>
      </c>
      <c r="F60">
        <v>2012</v>
      </c>
      <c r="G60">
        <v>5</v>
      </c>
      <c r="H60">
        <v>2915.9051944991957</v>
      </c>
      <c r="I60">
        <v>0</v>
      </c>
      <c r="J60">
        <v>21.32</v>
      </c>
      <c r="K60">
        <v>-158.08694399999999</v>
      </c>
      <c r="AC60" s="22"/>
      <c r="AD60" s="22"/>
      <c r="AE60" s="22"/>
      <c r="AF60" s="22"/>
      <c r="AG60" s="22"/>
      <c r="AH60" s="22"/>
      <c r="AI60" s="22"/>
      <c r="AJ60" s="22"/>
      <c r="AK60" s="22"/>
      <c r="AL60" s="22"/>
      <c r="AM60" s="23"/>
      <c r="AN60" s="22"/>
      <c r="AO60" s="22"/>
      <c r="AP60" s="23"/>
      <c r="AQ60" s="23"/>
      <c r="AR60" s="22"/>
      <c r="AS60" s="24"/>
      <c r="AT60" s="25"/>
      <c r="BA60" s="19"/>
    </row>
    <row r="61" spans="1:53" x14ac:dyDescent="0.2">
      <c r="A61" t="s">
        <v>111</v>
      </c>
      <c r="B61" t="s">
        <v>81</v>
      </c>
      <c r="C61" t="s">
        <v>3</v>
      </c>
      <c r="F61">
        <v>2016</v>
      </c>
      <c r="G61">
        <v>27.6</v>
      </c>
      <c r="H61">
        <v>2915.9051944991957</v>
      </c>
      <c r="I61">
        <v>0</v>
      </c>
      <c r="J61">
        <v>21.461945</v>
      </c>
      <c r="K61">
        <v>-158.18927400000001</v>
      </c>
      <c r="Z61" s="22"/>
      <c r="AA61" s="22"/>
      <c r="AB61" s="22"/>
      <c r="AC61" s="22"/>
      <c r="AD61" s="22"/>
      <c r="AE61" s="22"/>
      <c r="AF61" s="22"/>
      <c r="AG61" s="22"/>
      <c r="AH61" s="22"/>
      <c r="AI61" s="22"/>
      <c r="AJ61" s="22"/>
      <c r="AK61" s="23"/>
      <c r="AL61" s="22"/>
      <c r="AM61" s="22"/>
      <c r="AN61" s="23"/>
      <c r="AO61" s="23"/>
      <c r="AP61" s="22"/>
      <c r="AQ61" s="24"/>
      <c r="AR61" s="25"/>
      <c r="AY61" s="19"/>
    </row>
    <row r="62" spans="1:53" x14ac:dyDescent="0.2">
      <c r="A62" t="s">
        <v>111</v>
      </c>
      <c r="B62" t="s">
        <v>81</v>
      </c>
      <c r="C62" t="s">
        <v>141</v>
      </c>
      <c r="F62">
        <v>2016</v>
      </c>
      <c r="G62">
        <f>0.406*444</f>
        <v>180.26400000000001</v>
      </c>
      <c r="H62">
        <v>4207.70870974221</v>
      </c>
      <c r="I62">
        <v>0</v>
      </c>
    </row>
    <row r="63" spans="1:53" x14ac:dyDescent="0.2">
      <c r="A63" t="s">
        <v>111</v>
      </c>
      <c r="B63" t="s">
        <v>81</v>
      </c>
      <c r="C63" t="s">
        <v>140</v>
      </c>
      <c r="F63">
        <v>2016</v>
      </c>
      <c r="G63">
        <f>444-G62</f>
        <v>263.73599999999999</v>
      </c>
      <c r="H63">
        <v>6126.9115598461467</v>
      </c>
      <c r="I63">
        <v>0</v>
      </c>
    </row>
    <row r="64" spans="1:53" x14ac:dyDescent="0.2">
      <c r="A64" t="s">
        <v>111</v>
      </c>
      <c r="B64" t="s">
        <v>81</v>
      </c>
      <c r="C64" t="s">
        <v>112</v>
      </c>
      <c r="D64" t="s">
        <v>101</v>
      </c>
      <c r="E64" t="s">
        <v>101</v>
      </c>
      <c r="F64">
        <v>2018</v>
      </c>
      <c r="G64">
        <v>48.84</v>
      </c>
      <c r="S64" s="32"/>
    </row>
    <row r="65" spans="1:11" x14ac:dyDescent="0.2">
      <c r="A65" t="s">
        <v>111</v>
      </c>
      <c r="B65" t="s">
        <v>81</v>
      </c>
      <c r="C65" t="s">
        <v>3</v>
      </c>
      <c r="F65">
        <v>2019</v>
      </c>
      <c r="G65">
        <v>49</v>
      </c>
      <c r="J65">
        <v>21.636347000413998</v>
      </c>
      <c r="K65">
        <v>-158.0607533454</v>
      </c>
    </row>
    <row r="66" spans="1:11" x14ac:dyDescent="0.2">
      <c r="A66" t="s">
        <v>111</v>
      </c>
      <c r="B66" t="s">
        <v>81</v>
      </c>
      <c r="C66" t="s">
        <v>3</v>
      </c>
      <c r="F66">
        <v>2019</v>
      </c>
      <c r="G66">
        <v>14.7</v>
      </c>
      <c r="J66">
        <v>21.426177150000001</v>
      </c>
      <c r="K66">
        <v>-158.01846026999999</v>
      </c>
    </row>
    <row r="67" spans="1:11" x14ac:dyDescent="0.2">
      <c r="A67" t="s">
        <v>111</v>
      </c>
      <c r="B67" t="s">
        <v>81</v>
      </c>
      <c r="C67" t="s">
        <v>3</v>
      </c>
      <c r="F67">
        <v>2019</v>
      </c>
      <c r="G67">
        <v>45.9</v>
      </c>
      <c r="J67">
        <v>21.430603488757999</v>
      </c>
      <c r="K67">
        <v>-157.99464762209999</v>
      </c>
    </row>
    <row r="68" spans="1:11" x14ac:dyDescent="0.2">
      <c r="A68" t="s">
        <v>111</v>
      </c>
      <c r="B68" t="s">
        <v>81</v>
      </c>
      <c r="C68" t="s">
        <v>3</v>
      </c>
      <c r="F68">
        <v>2019</v>
      </c>
      <c r="G68">
        <v>20</v>
      </c>
      <c r="J68">
        <v>21.33756</v>
      </c>
      <c r="K68">
        <v>-158.01067900000001</v>
      </c>
    </row>
    <row r="69" spans="1:11" x14ac:dyDescent="0.2">
      <c r="K69" s="27"/>
    </row>
    <row r="70" spans="1:11" x14ac:dyDescent="0.2">
      <c r="K70" s="27"/>
    </row>
    <row r="71" spans="1:11" x14ac:dyDescent="0.2">
      <c r="K71" s="27"/>
    </row>
    <row r="72" spans="1:11" x14ac:dyDescent="0.2">
      <c r="A72" t="s">
        <v>136</v>
      </c>
      <c r="K72" s="27"/>
    </row>
    <row r="73" spans="1:11" x14ac:dyDescent="0.2">
      <c r="A73" s="18" t="s">
        <v>132</v>
      </c>
      <c r="E73" t="s">
        <v>129</v>
      </c>
      <c r="K73" s="27"/>
    </row>
    <row r="74" spans="1:11" ht="136" x14ac:dyDescent="0.2">
      <c r="A74" s="33" t="s">
        <v>125</v>
      </c>
      <c r="B74" s="33" t="s">
        <v>120</v>
      </c>
      <c r="C74" s="33" t="s">
        <v>121</v>
      </c>
      <c r="D74" s="33" t="s">
        <v>122</v>
      </c>
      <c r="E74" s="33" t="s">
        <v>123</v>
      </c>
      <c r="F74" s="33" t="s">
        <v>124</v>
      </c>
      <c r="G74" s="33"/>
      <c r="H74" s="33" t="s">
        <v>128</v>
      </c>
      <c r="I74" s="33" t="s">
        <v>135</v>
      </c>
      <c r="K74" s="27"/>
    </row>
    <row r="75" spans="1:11" x14ac:dyDescent="0.2">
      <c r="A75">
        <v>2016</v>
      </c>
      <c r="B75">
        <f>G62</f>
        <v>180.26400000000001</v>
      </c>
      <c r="C75">
        <v>0</v>
      </c>
      <c r="D75" s="27">
        <f t="shared" ref="D75:D82" si="16">SUM(B75:C75)</f>
        <v>180.26400000000001</v>
      </c>
      <c r="E75">
        <v>0</v>
      </c>
      <c r="H75">
        <v>471</v>
      </c>
      <c r="I75">
        <v>400</v>
      </c>
      <c r="K75" s="18" t="s">
        <v>134</v>
      </c>
    </row>
    <row r="76" spans="1:11" x14ac:dyDescent="0.2">
      <c r="A76">
        <v>2020</v>
      </c>
      <c r="B76" s="27">
        <v>606.29999999999995</v>
      </c>
      <c r="C76">
        <v>0</v>
      </c>
      <c r="D76" s="27">
        <f t="shared" si="16"/>
        <v>606.29999999999995</v>
      </c>
      <c r="E76">
        <v>0</v>
      </c>
      <c r="F76">
        <f>D76-D75+E76</f>
        <v>426.03599999999994</v>
      </c>
      <c r="H76">
        <v>856</v>
      </c>
      <c r="I76">
        <v>600</v>
      </c>
      <c r="K76" s="21" t="str">
        <f t="shared" ref="K76:K82" si="17">"("&amp;A76&amp;", "&amp;CHAR(34)&amp;"DistPV"&amp;CHAR(34)&amp;", "&amp;F76&amp;"),"</f>
        <v>(2020, "DistPV", 426.036),</v>
      </c>
    </row>
    <row r="77" spans="1:11" x14ac:dyDescent="0.2">
      <c r="A77">
        <v>2022</v>
      </c>
      <c r="B77" s="27">
        <v>606.29999999999995</v>
      </c>
      <c r="C77">
        <v>74</v>
      </c>
      <c r="D77" s="27">
        <f t="shared" si="16"/>
        <v>680.3</v>
      </c>
      <c r="E77">
        <v>0</v>
      </c>
      <c r="F77">
        <f t="shared" ref="F77:F82" si="18">D77-D76+E77</f>
        <v>74</v>
      </c>
      <c r="K77" s="21" t="str">
        <f t="shared" si="17"/>
        <v>(2022, "DistPV", 74),</v>
      </c>
    </row>
    <row r="78" spans="1:11" x14ac:dyDescent="0.2">
      <c r="A78">
        <v>2025</v>
      </c>
      <c r="B78" s="27">
        <v>606.29999999999995</v>
      </c>
      <c r="C78">
        <v>138.6</v>
      </c>
      <c r="D78" s="27">
        <f t="shared" si="16"/>
        <v>744.9</v>
      </c>
      <c r="E78">
        <v>0</v>
      </c>
      <c r="F78">
        <f t="shared" si="18"/>
        <v>64.600000000000023</v>
      </c>
      <c r="H78">
        <v>1169</v>
      </c>
      <c r="I78">
        <v>720</v>
      </c>
      <c r="K78" s="21" t="str">
        <f t="shared" si="17"/>
        <v>(2025, "DistPV", 64.6),</v>
      </c>
    </row>
    <row r="79" spans="1:11" x14ac:dyDescent="0.2">
      <c r="A79">
        <v>2030</v>
      </c>
      <c r="B79" s="27">
        <v>606.29999999999995</v>
      </c>
      <c r="C79">
        <v>262.39999999999998</v>
      </c>
      <c r="D79" s="27">
        <f t="shared" si="16"/>
        <v>868.69999999999993</v>
      </c>
      <c r="E79">
        <v>0</v>
      </c>
      <c r="F79">
        <f t="shared" si="18"/>
        <v>123.79999999999995</v>
      </c>
      <c r="I79">
        <v>865</v>
      </c>
      <c r="K79" s="21" t="str">
        <f t="shared" si="17"/>
        <v>(2030, "DistPV", 123.8),</v>
      </c>
    </row>
    <row r="80" spans="1:11" x14ac:dyDescent="0.2">
      <c r="A80">
        <v>2035</v>
      </c>
      <c r="B80" s="27">
        <v>606.29999999999995</v>
      </c>
      <c r="C80">
        <v>409.1</v>
      </c>
      <c r="D80" s="27">
        <f t="shared" si="16"/>
        <v>1015.4</v>
      </c>
      <c r="E80">
        <v>0</v>
      </c>
      <c r="F80">
        <f t="shared" si="18"/>
        <v>146.70000000000005</v>
      </c>
      <c r="I80">
        <v>1020</v>
      </c>
      <c r="K80" s="21" t="str">
        <f t="shared" si="17"/>
        <v>(2035, "DistPV", 146.7),</v>
      </c>
    </row>
    <row r="81" spans="1:11" x14ac:dyDescent="0.2">
      <c r="A81">
        <v>2040</v>
      </c>
      <c r="B81" s="27">
        <v>606.29999999999995</v>
      </c>
      <c r="C81">
        <v>557.1</v>
      </c>
      <c r="D81" s="27">
        <f t="shared" si="16"/>
        <v>1163.4000000000001</v>
      </c>
      <c r="E81" s="18">
        <f>F76</f>
        <v>426.03599999999994</v>
      </c>
      <c r="F81">
        <f t="shared" si="18"/>
        <v>574.03600000000006</v>
      </c>
      <c r="H81">
        <v>1517</v>
      </c>
      <c r="I81">
        <v>1160</v>
      </c>
      <c r="K81" s="21" t="str">
        <f t="shared" si="17"/>
        <v>(2040, "DistPV", 574.036),</v>
      </c>
    </row>
    <row r="82" spans="1:11" x14ac:dyDescent="0.2">
      <c r="A82">
        <v>2045</v>
      </c>
      <c r="B82" s="27">
        <v>606.29999999999995</v>
      </c>
      <c r="C82">
        <v>701.6</v>
      </c>
      <c r="D82" s="27">
        <f t="shared" si="16"/>
        <v>1307.9000000000001</v>
      </c>
      <c r="E82" s="18">
        <f>F77+F78</f>
        <v>138.60000000000002</v>
      </c>
      <c r="F82">
        <f t="shared" si="18"/>
        <v>283.10000000000002</v>
      </c>
      <c r="H82">
        <v>1697</v>
      </c>
      <c r="I82">
        <v>1300</v>
      </c>
      <c r="K82" s="21" t="str">
        <f t="shared" si="17"/>
        <v>(2045, "DistPV", 283.1),</v>
      </c>
    </row>
    <row r="83" spans="1:11" x14ac:dyDescent="0.2">
      <c r="B83" s="27"/>
      <c r="D83" s="27"/>
      <c r="E83" s="18"/>
      <c r="K83" s="27"/>
    </row>
    <row r="84" spans="1:11" x14ac:dyDescent="0.2">
      <c r="A84" s="18" t="s">
        <v>130</v>
      </c>
      <c r="B84" s="27"/>
      <c r="D84" s="27"/>
      <c r="E84" s="18"/>
      <c r="K84" s="27"/>
    </row>
    <row r="85" spans="1:11" x14ac:dyDescent="0.2">
      <c r="A85" t="str">
        <f>"("&amp;F58&amp;", "&amp;CHAR(34)&amp;C58&amp;CHAR(34)&amp;", "&amp;G58&amp;"),"</f>
        <v>(2011, "OnshoreWind", 30),</v>
      </c>
      <c r="B85" s="27"/>
      <c r="D85" s="27"/>
      <c r="E85" s="18"/>
      <c r="K85" s="27"/>
    </row>
    <row r="86" spans="1:11" x14ac:dyDescent="0.2">
      <c r="A86" t="str">
        <f>"("&amp;F59&amp;", "&amp;CHAR(34)&amp;C59&amp;CHAR(34)&amp;", "&amp;G59&amp;"),"</f>
        <v>(2012, "OnshoreWind", 69),</v>
      </c>
      <c r="B86" s="27"/>
      <c r="D86" s="27"/>
      <c r="K86" s="27"/>
    </row>
    <row r="87" spans="1:11" x14ac:dyDescent="0.2">
      <c r="A87" t="str">
        <f>"("&amp;F60&amp;", "&amp;CHAR(34)&amp;C60&amp;CHAR(34)&amp;", "&amp;G60&amp;"),"</f>
        <v>(2012, "CentralTrackingPV", 5),</v>
      </c>
      <c r="B87" s="27"/>
      <c r="D87" s="27"/>
      <c r="K87" s="27"/>
    </row>
    <row r="88" spans="1:11" x14ac:dyDescent="0.2">
      <c r="A88" t="str">
        <f>"("&amp;F61&amp;", "&amp;CHAR(34)&amp;C61&amp;CHAR(34)&amp;", "&amp;G61&amp;"),"</f>
        <v>(2016, "CentralTrackingPV", 27.6),</v>
      </c>
      <c r="B88" s="27"/>
      <c r="D88" s="27"/>
      <c r="K88" s="27"/>
    </row>
    <row r="89" spans="1:11" x14ac:dyDescent="0.2">
      <c r="A89" t="str">
        <f>"("&amp;F62&amp;", "&amp;CHAR(34)&amp;C62&amp;CHAR(34)&amp;", "&amp;G62&amp;"),"</f>
        <v>(2016, "FlatDistPV", 180.264),</v>
      </c>
      <c r="B89" s="27"/>
      <c r="D89" s="27"/>
      <c r="K89" s="27"/>
    </row>
    <row r="90" spans="1:11" x14ac:dyDescent="0.2">
      <c r="A90" t="str">
        <f t="shared" ref="A90:A94" si="19">"("&amp;F64&amp;", "&amp;CHAR(34)&amp;C64&amp;CHAR(34)&amp;", "&amp;G64&amp;"),"</f>
        <v>(2018, "IC_Schofield", 48.84),</v>
      </c>
      <c r="B90" s="27"/>
      <c r="D90" s="27"/>
      <c r="K90" s="27"/>
    </row>
    <row r="91" spans="1:11" x14ac:dyDescent="0.2">
      <c r="A91" t="str">
        <f t="shared" si="19"/>
        <v>(2019, "CentralTrackingPV", 49),</v>
      </c>
      <c r="B91" s="27"/>
      <c r="D91" s="27"/>
      <c r="K91" s="27"/>
    </row>
    <row r="92" spans="1:11" x14ac:dyDescent="0.2">
      <c r="A92" t="str">
        <f t="shared" si="19"/>
        <v>(2019, "CentralTrackingPV", 14.7),</v>
      </c>
      <c r="B92" s="27"/>
      <c r="D92" s="27"/>
      <c r="K92" s="27"/>
    </row>
    <row r="93" spans="1:11" x14ac:dyDescent="0.2">
      <c r="A93" t="str">
        <f t="shared" si="19"/>
        <v>(2019, "CentralTrackingPV", 45.9),</v>
      </c>
      <c r="B93" s="27"/>
      <c r="D93" s="27"/>
      <c r="E93" s="18"/>
      <c r="K93" s="27"/>
    </row>
    <row r="94" spans="1:11" x14ac:dyDescent="0.2">
      <c r="A94" t="str">
        <f t="shared" si="19"/>
        <v>(2019, "CentralTrackingPV", 20),</v>
      </c>
      <c r="B94" s="27"/>
      <c r="D94" s="27"/>
      <c r="E94" s="18"/>
      <c r="K94" s="27"/>
    </row>
    <row r="95" spans="1:11" x14ac:dyDescent="0.2">
      <c r="B95" s="27"/>
      <c r="D95" s="27"/>
      <c r="E95" s="18"/>
      <c r="K95" s="27"/>
    </row>
    <row r="96" spans="1:11" x14ac:dyDescent="0.2">
      <c r="A96" t="s">
        <v>126</v>
      </c>
      <c r="B96" s="27"/>
      <c r="D96" s="27"/>
      <c r="E96" s="18"/>
      <c r="K96" s="27"/>
    </row>
    <row r="97" spans="1:11" x14ac:dyDescent="0.2">
      <c r="A97" t="s">
        <v>117</v>
      </c>
      <c r="K97" s="27"/>
    </row>
    <row r="98" spans="1:11" x14ac:dyDescent="0.2">
      <c r="A98" t="s">
        <v>113</v>
      </c>
      <c r="K98" s="27"/>
    </row>
    <row r="99" spans="1:11" x14ac:dyDescent="0.2">
      <c r="A99" t="s">
        <v>114</v>
      </c>
    </row>
    <row r="100" spans="1:11" x14ac:dyDescent="0.2">
      <c r="A100" t="s">
        <v>115</v>
      </c>
      <c r="K100" s="27"/>
    </row>
    <row r="101" spans="1:11" x14ac:dyDescent="0.2">
      <c r="A101" t="s">
        <v>116</v>
      </c>
    </row>
    <row r="103" spans="1:11" x14ac:dyDescent="0.2">
      <c r="K103" s="27"/>
    </row>
    <row r="104" spans="1:11" x14ac:dyDescent="0.2">
      <c r="A104" t="s">
        <v>118</v>
      </c>
    </row>
    <row r="105" spans="1:11" x14ac:dyDescent="0.2">
      <c r="A105" t="s">
        <v>119</v>
      </c>
    </row>
    <row r="106" spans="1:11" x14ac:dyDescent="0.2">
      <c r="A106" t="s">
        <v>133</v>
      </c>
      <c r="K106" s="27"/>
    </row>
    <row r="109" spans="1:11" x14ac:dyDescent="0.2">
      <c r="A109" t="s">
        <v>72</v>
      </c>
    </row>
    <row r="110" spans="1:11" x14ac:dyDescent="0.2">
      <c r="A110" t="s">
        <v>62</v>
      </c>
    </row>
    <row r="111" spans="1:11" x14ac:dyDescent="0.2">
      <c r="A111" t="s">
        <v>63</v>
      </c>
    </row>
    <row r="112" spans="1:11" x14ac:dyDescent="0.2">
      <c r="A112" t="s">
        <v>64</v>
      </c>
    </row>
    <row r="113" spans="1:11" x14ac:dyDescent="0.2">
      <c r="A113" t="s">
        <v>65</v>
      </c>
    </row>
    <row r="114" spans="1:11" x14ac:dyDescent="0.2">
      <c r="A114" t="s">
        <v>66</v>
      </c>
    </row>
    <row r="116" spans="1:11" x14ac:dyDescent="0.2">
      <c r="A116" s="21" t="s">
        <v>95</v>
      </c>
      <c r="B116" s="18"/>
      <c r="C116" s="18"/>
      <c r="D116" s="18"/>
    </row>
    <row r="117" spans="1:11" x14ac:dyDescent="0.2">
      <c r="A117" s="21" t="s">
        <v>108</v>
      </c>
      <c r="B117" s="18"/>
      <c r="C117" s="18"/>
      <c r="D117" s="18"/>
    </row>
    <row r="118" spans="1:11" x14ac:dyDescent="0.2">
      <c r="B118" s="18"/>
      <c r="C118" s="18"/>
      <c r="D118" s="18"/>
      <c r="K118" t="s">
        <v>96</v>
      </c>
    </row>
    <row r="119" spans="1:11" x14ac:dyDescent="0.2">
      <c r="B119" s="21"/>
      <c r="C119" s="21"/>
      <c r="D119" s="21"/>
      <c r="K119" t="s">
        <v>97</v>
      </c>
    </row>
    <row r="120" spans="1:11" x14ac:dyDescent="0.2">
      <c r="A120" s="21" t="s">
        <v>70</v>
      </c>
    </row>
    <row r="121" spans="1:11" x14ac:dyDescent="0.2">
      <c r="A121" s="21" t="s">
        <v>93</v>
      </c>
    </row>
    <row r="122" spans="1:11" x14ac:dyDescent="0.2">
      <c r="A122" s="21" t="s">
        <v>61</v>
      </c>
    </row>
    <row r="123" spans="1:11" x14ac:dyDescent="0.2">
      <c r="A123" t="s">
        <v>68</v>
      </c>
    </row>
    <row r="124" spans="1:11" x14ac:dyDescent="0.2">
      <c r="A124" t="s">
        <v>67</v>
      </c>
    </row>
    <row r="125" spans="1:11" x14ac:dyDescent="0.2">
      <c r="A125" t="s">
        <v>56</v>
      </c>
    </row>
    <row r="126" spans="1:11" x14ac:dyDescent="0.2">
      <c r="A126" t="s">
        <v>58</v>
      </c>
    </row>
    <row r="127" spans="1:11" x14ac:dyDescent="0.2">
      <c r="A127" s="21" t="s">
        <v>69</v>
      </c>
    </row>
    <row r="128" spans="1:11" x14ac:dyDescent="0.2">
      <c r="A128" s="21" t="s">
        <v>109</v>
      </c>
    </row>
    <row r="132" spans="1:4" x14ac:dyDescent="0.2">
      <c r="A132" s="21" t="s">
        <v>71</v>
      </c>
    </row>
    <row r="133" spans="1:4" x14ac:dyDescent="0.2">
      <c r="A133" s="21" t="s">
        <v>87</v>
      </c>
    </row>
    <row r="134" spans="1:4" x14ac:dyDescent="0.2">
      <c r="A134" s="21" t="s">
        <v>86</v>
      </c>
    </row>
    <row r="135" spans="1:4" x14ac:dyDescent="0.2">
      <c r="A135" s="21" t="s">
        <v>106</v>
      </c>
      <c r="B135" s="26"/>
      <c r="C135" s="26"/>
      <c r="D135" s="26"/>
    </row>
    <row r="136" spans="1:4" x14ac:dyDescent="0.2">
      <c r="A136" s="21" t="s">
        <v>107</v>
      </c>
      <c r="B136" s="26"/>
      <c r="C136" s="26"/>
      <c r="D136" s="26"/>
    </row>
    <row r="137" spans="1:4" x14ac:dyDescent="0.2">
      <c r="A137" t="s">
        <v>92</v>
      </c>
      <c r="B137" s="27"/>
      <c r="C137" s="27"/>
      <c r="D137" s="27"/>
    </row>
    <row r="138" spans="1:4" x14ac:dyDescent="0.2">
      <c r="B138" s="26"/>
      <c r="C138" s="26"/>
      <c r="D138" s="26"/>
    </row>
    <row r="139" spans="1:4" x14ac:dyDescent="0.2">
      <c r="B139" s="28"/>
      <c r="C139" s="28"/>
      <c r="D139" s="28"/>
    </row>
    <row r="140" spans="1:4" x14ac:dyDescent="0.2">
      <c r="A140" s="27"/>
      <c r="B140" s="26"/>
      <c r="C140" s="26"/>
      <c r="D140" s="26"/>
    </row>
    <row r="141" spans="1:4" x14ac:dyDescent="0.2">
      <c r="A141" s="26"/>
    </row>
    <row r="142" spans="1:4" x14ac:dyDescent="0.2">
      <c r="A142" s="28"/>
    </row>
    <row r="143" spans="1:4" x14ac:dyDescent="0.2">
      <c r="A143" s="26"/>
    </row>
    <row r="148" spans="1:1" x14ac:dyDescent="0.2">
      <c r="A148" s="27"/>
    </row>
    <row r="152" spans="1:1" x14ac:dyDescent="0.2">
      <c r="A152" s="27"/>
    </row>
  </sheetData>
  <mergeCells count="4">
    <mergeCell ref="F5:J5"/>
    <mergeCell ref="K5:N5"/>
    <mergeCell ref="P5:Q5"/>
    <mergeCell ref="S5:W5"/>
  </mergeCells>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technologies and projects</vt:lpstr>
      <vt:lpstr>base_year</vt:lpstr>
      <vt:lpstr>build_info</vt:lpstr>
      <vt:lpstr>heat_rate_info</vt:lpstr>
      <vt:lpstr>technology_info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Fripp</dc:creator>
  <cp:lastModifiedBy>Matthias Fripp</cp:lastModifiedBy>
  <dcterms:created xsi:type="dcterms:W3CDTF">2016-12-06T10:24:00Z</dcterms:created>
  <dcterms:modified xsi:type="dcterms:W3CDTF">2019-10-22T22:00:32Z</dcterms:modified>
</cp:coreProperties>
</file>