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/Dropbox/Research/Ulupono/Enovation Model/scenario_2.1/"/>
    </mc:Choice>
  </mc:AlternateContent>
  <xr:revisionPtr revIDLastSave="0" documentId="13_ncr:1_{3D6C5781-6445-BF46-8F8C-24FB2666EA4C}" xr6:coauthVersionLast="45" xr6:coauthVersionMax="45" xr10:uidLastSave="{00000000-0000-0000-0000-000000000000}"/>
  <bookViews>
    <workbookView xWindow="14600" yWindow="460" windowWidth="23100" windowHeight="20160" xr2:uid="{00000000-000D-0000-FFFF-FFFF00000000}"/>
  </bookViews>
  <sheets>
    <sheet name="annual_details_by_owner" sheetId="1" r:id="rId1"/>
  </sheets>
  <externalReferences>
    <externalReference r:id="rId2"/>
  </externalReferences>
  <definedNames>
    <definedName name="_xlnm._FilterDatabase" localSheetId="0" hidden="1">annual_details_by_owner!$A$1:$AF$36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50" i="1" l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G49" i="1"/>
  <c r="AF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49" i="1"/>
  <c r="T49" i="1" l="1" a="1"/>
  <c r="T49" i="1" s="1"/>
  <c r="S49" i="1" a="1"/>
  <c r="S49" i="1" s="1"/>
  <c r="N49" i="1" l="1" a="1"/>
  <c r="N49" i="1" s="1"/>
  <c r="O49" i="1" s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49" i="1"/>
  <c r="O55" i="1"/>
  <c r="O61" i="1"/>
  <c r="O62" i="1"/>
  <c r="O63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C39" i="1"/>
  <c r="O54" i="1" l="1"/>
  <c r="O71" i="1"/>
  <c r="O53" i="1"/>
  <c r="O70" i="1"/>
  <c r="O69" i="1"/>
  <c r="O68" i="1"/>
  <c r="O60" i="1"/>
  <c r="O52" i="1"/>
  <c r="O67" i="1"/>
  <c r="O59" i="1"/>
  <c r="O51" i="1"/>
  <c r="O74" i="1"/>
  <c r="O66" i="1"/>
  <c r="O58" i="1"/>
  <c r="O50" i="1"/>
  <c r="O73" i="1"/>
  <c r="O65" i="1"/>
  <c r="O57" i="1"/>
  <c r="O72" i="1"/>
  <c r="O64" i="1"/>
  <c r="O56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C43" i="1"/>
  <c r="D42" i="1"/>
  <c r="E42" i="1"/>
  <c r="F42" i="1"/>
  <c r="F46" i="1" s="1"/>
  <c r="G42" i="1"/>
  <c r="G46" i="1" s="1"/>
  <c r="H42" i="1"/>
  <c r="I42" i="1"/>
  <c r="J42" i="1"/>
  <c r="J46" i="1" s="1"/>
  <c r="K42" i="1"/>
  <c r="L42" i="1"/>
  <c r="M42" i="1"/>
  <c r="N42" i="1"/>
  <c r="N46" i="1" s="1"/>
  <c r="O42" i="1"/>
  <c r="O46" i="1" s="1"/>
  <c r="P42" i="1"/>
  <c r="Q42" i="1"/>
  <c r="R42" i="1"/>
  <c r="R46" i="1" s="1"/>
  <c r="S42" i="1"/>
  <c r="T42" i="1"/>
  <c r="U42" i="1"/>
  <c r="V42" i="1"/>
  <c r="V46" i="1" s="1"/>
  <c r="W42" i="1"/>
  <c r="W46" i="1" s="1"/>
  <c r="X42" i="1"/>
  <c r="Y42" i="1"/>
  <c r="Z42" i="1"/>
  <c r="Z46" i="1" s="1"/>
  <c r="AA42" i="1"/>
  <c r="AB42" i="1"/>
  <c r="C42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C38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C41" i="1"/>
  <c r="D40" i="1"/>
  <c r="D45" i="1" s="1"/>
  <c r="E40" i="1"/>
  <c r="F40" i="1"/>
  <c r="G40" i="1"/>
  <c r="H40" i="1"/>
  <c r="I40" i="1"/>
  <c r="I45" i="1" s="1"/>
  <c r="J40" i="1"/>
  <c r="K40" i="1"/>
  <c r="L40" i="1"/>
  <c r="L45" i="1" s="1"/>
  <c r="M40" i="1"/>
  <c r="N40" i="1"/>
  <c r="O40" i="1"/>
  <c r="P40" i="1"/>
  <c r="Q40" i="1"/>
  <c r="Q45" i="1" s="1"/>
  <c r="R40" i="1"/>
  <c r="S40" i="1"/>
  <c r="T40" i="1"/>
  <c r="T45" i="1" s="1"/>
  <c r="U40" i="1"/>
  <c r="V40" i="1"/>
  <c r="W40" i="1"/>
  <c r="X40" i="1"/>
  <c r="Y40" i="1"/>
  <c r="Y45" i="1" s="1"/>
  <c r="Z40" i="1"/>
  <c r="AA40" i="1"/>
  <c r="AB40" i="1"/>
  <c r="AB45" i="1" s="1"/>
  <c r="C40" i="1"/>
  <c r="V45" i="1" l="1"/>
  <c r="N45" i="1"/>
  <c r="AB46" i="1"/>
  <c r="T46" i="1"/>
  <c r="L46" i="1"/>
  <c r="D46" i="1"/>
  <c r="C45" i="1"/>
  <c r="U45" i="1"/>
  <c r="M45" i="1"/>
  <c r="E45" i="1"/>
  <c r="AA46" i="1"/>
  <c r="S46" i="1"/>
  <c r="K46" i="1"/>
  <c r="X45" i="1"/>
  <c r="P45" i="1"/>
  <c r="H45" i="1"/>
  <c r="W45" i="1"/>
  <c r="O45" i="1"/>
  <c r="G45" i="1"/>
  <c r="C46" i="1"/>
  <c r="U46" i="1"/>
  <c r="M46" i="1"/>
  <c r="E46" i="1"/>
  <c r="S45" i="1"/>
  <c r="F45" i="1"/>
  <c r="AA45" i="1"/>
  <c r="K45" i="1"/>
  <c r="Y46" i="1"/>
  <c r="Q46" i="1"/>
  <c r="I46" i="1"/>
  <c r="Z45" i="1"/>
  <c r="R45" i="1"/>
  <c r="J45" i="1"/>
  <c r="X46" i="1"/>
  <c r="P46" i="1"/>
  <c r="H46" i="1"/>
  <c r="AC42" i="1"/>
  <c r="B48" i="1" l="1" a="1"/>
  <c r="AB50" i="1" l="1"/>
  <c r="AB52" i="1"/>
  <c r="AB60" i="1"/>
  <c r="AB68" i="1"/>
  <c r="AB70" i="1"/>
  <c r="AB66" i="1"/>
  <c r="AB67" i="1"/>
  <c r="AB53" i="1"/>
  <c r="AB61" i="1"/>
  <c r="AB69" i="1"/>
  <c r="AB62" i="1"/>
  <c r="AB58" i="1"/>
  <c r="AB59" i="1"/>
  <c r="AB49" i="1"/>
  <c r="AB54" i="1"/>
  <c r="AB55" i="1"/>
  <c r="AB63" i="1"/>
  <c r="AB71" i="1"/>
  <c r="AB65" i="1"/>
  <c r="AB74" i="1"/>
  <c r="AB56" i="1"/>
  <c r="AB64" i="1"/>
  <c r="AB72" i="1"/>
  <c r="AB57" i="1"/>
  <c r="AB73" i="1"/>
  <c r="AB51" i="1"/>
  <c r="B48" i="1"/>
  <c r="AI49" i="1"/>
  <c r="AI57" i="1"/>
  <c r="AI65" i="1"/>
  <c r="AI73" i="1"/>
  <c r="Y56" i="1"/>
  <c r="Y64" i="1"/>
  <c r="Y72" i="1"/>
  <c r="Z51" i="1"/>
  <c r="Z55" i="1"/>
  <c r="Z59" i="1"/>
  <c r="Z63" i="1"/>
  <c r="Z67" i="1"/>
  <c r="Z71" i="1"/>
  <c r="AA49" i="1"/>
  <c r="M54" i="1"/>
  <c r="M62" i="1"/>
  <c r="M70" i="1"/>
  <c r="R52" i="1"/>
  <c r="R60" i="1"/>
  <c r="R68" i="1"/>
  <c r="AI50" i="1"/>
  <c r="AI58" i="1"/>
  <c r="AI66" i="1"/>
  <c r="AI74" i="1"/>
  <c r="Y57" i="1"/>
  <c r="Y65" i="1"/>
  <c r="Y73" i="1"/>
  <c r="AA51" i="1"/>
  <c r="AA55" i="1"/>
  <c r="AA59" i="1"/>
  <c r="AA63" i="1"/>
  <c r="AA67" i="1"/>
  <c r="AA71" i="1"/>
  <c r="Z49" i="1"/>
  <c r="M55" i="1"/>
  <c r="M63" i="1"/>
  <c r="M71" i="1"/>
  <c r="R53" i="1"/>
  <c r="R61" i="1"/>
  <c r="R69" i="1"/>
  <c r="AI51" i="1"/>
  <c r="AI59" i="1"/>
  <c r="AI67" i="1"/>
  <c r="Y50" i="1"/>
  <c r="Y58" i="1"/>
  <c r="Y66" i="1"/>
  <c r="Y74" i="1"/>
  <c r="Z52" i="1"/>
  <c r="Z56" i="1"/>
  <c r="Z60" i="1"/>
  <c r="Z64" i="1"/>
  <c r="Z68" i="1"/>
  <c r="Z72" i="1"/>
  <c r="M56" i="1"/>
  <c r="M64" i="1"/>
  <c r="M72" i="1"/>
  <c r="R54" i="1"/>
  <c r="R62" i="1"/>
  <c r="R70" i="1"/>
  <c r="AI52" i="1"/>
  <c r="AI60" i="1"/>
  <c r="AI68" i="1"/>
  <c r="Y51" i="1"/>
  <c r="AJ51" i="1" s="1"/>
  <c r="Y59" i="1"/>
  <c r="AJ59" i="1" s="1"/>
  <c r="Y67" i="1"/>
  <c r="Y49" i="1"/>
  <c r="AA52" i="1"/>
  <c r="AA56" i="1"/>
  <c r="AA60" i="1"/>
  <c r="AA64" i="1"/>
  <c r="AA68" i="1"/>
  <c r="AA72" i="1"/>
  <c r="M57" i="1"/>
  <c r="M65" i="1"/>
  <c r="M73" i="1"/>
  <c r="R55" i="1"/>
  <c r="R63" i="1"/>
  <c r="R71" i="1"/>
  <c r="AI53" i="1"/>
  <c r="AI61" i="1"/>
  <c r="AI69" i="1"/>
  <c r="Y52" i="1"/>
  <c r="Y60" i="1"/>
  <c r="Y68" i="1"/>
  <c r="Z53" i="1"/>
  <c r="Z57" i="1"/>
  <c r="Z61" i="1"/>
  <c r="Z65" i="1"/>
  <c r="Z69" i="1"/>
  <c r="Z73" i="1"/>
  <c r="M50" i="1"/>
  <c r="M58" i="1"/>
  <c r="M66" i="1"/>
  <c r="M74" i="1"/>
  <c r="R56" i="1"/>
  <c r="R64" i="1"/>
  <c r="R72" i="1"/>
  <c r="AI54" i="1"/>
  <c r="AI62" i="1"/>
  <c r="AI70" i="1"/>
  <c r="Y53" i="1"/>
  <c r="Y61" i="1"/>
  <c r="Y69" i="1"/>
  <c r="AA53" i="1"/>
  <c r="AA57" i="1"/>
  <c r="AJ57" i="1" s="1"/>
  <c r="AA61" i="1"/>
  <c r="AA65" i="1"/>
  <c r="AJ65" i="1" s="1"/>
  <c r="AA69" i="1"/>
  <c r="AA73" i="1"/>
  <c r="AJ73" i="1" s="1"/>
  <c r="M51" i="1"/>
  <c r="M59" i="1"/>
  <c r="M67" i="1"/>
  <c r="M49" i="1"/>
  <c r="R57" i="1"/>
  <c r="R65" i="1"/>
  <c r="R73" i="1"/>
  <c r="AI55" i="1"/>
  <c r="AI63" i="1"/>
  <c r="AI71" i="1"/>
  <c r="Y54" i="1"/>
  <c r="Y62" i="1"/>
  <c r="Y70" i="1"/>
  <c r="Z50" i="1"/>
  <c r="Z54" i="1"/>
  <c r="Z58" i="1"/>
  <c r="Z62" i="1"/>
  <c r="Z66" i="1"/>
  <c r="Z70" i="1"/>
  <c r="Z74" i="1"/>
  <c r="M52" i="1"/>
  <c r="M60" i="1"/>
  <c r="M68" i="1"/>
  <c r="R50" i="1"/>
  <c r="R58" i="1"/>
  <c r="R66" i="1"/>
  <c r="R74" i="1"/>
  <c r="AI56" i="1"/>
  <c r="AI64" i="1"/>
  <c r="AI72" i="1"/>
  <c r="Y55" i="1"/>
  <c r="Y63" i="1"/>
  <c r="Y71" i="1"/>
  <c r="AA50" i="1"/>
  <c r="AA54" i="1"/>
  <c r="AJ54" i="1" s="1"/>
  <c r="AA58" i="1"/>
  <c r="AA62" i="1"/>
  <c r="AA66" i="1"/>
  <c r="AA70" i="1"/>
  <c r="AA74" i="1"/>
  <c r="M53" i="1"/>
  <c r="M61" i="1"/>
  <c r="M69" i="1"/>
  <c r="R51" i="1"/>
  <c r="R59" i="1"/>
  <c r="R67" i="1"/>
  <c r="R49" i="1"/>
  <c r="AJ74" i="1" l="1"/>
  <c r="AJ72" i="1"/>
  <c r="AJ50" i="1"/>
  <c r="AJ64" i="1"/>
  <c r="AJ67" i="1"/>
  <c r="AJ71" i="1"/>
  <c r="AJ66" i="1"/>
  <c r="AJ58" i="1"/>
  <c r="AJ56" i="1"/>
  <c r="AJ63" i="1"/>
  <c r="AJ53" i="1"/>
  <c r="AJ55" i="1"/>
  <c r="AJ68" i="1"/>
  <c r="AJ60" i="1"/>
  <c r="AJ62" i="1"/>
  <c r="AJ70" i="1"/>
  <c r="AJ52" i="1"/>
  <c r="AJ49" i="1"/>
  <c r="AJ69" i="1"/>
  <c r="AJ6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Matthias Fripp</author>
  </authors>
  <commentList>
    <comment ref="L48" authorId="0" shapeId="0" xr:uid="{00000000-0006-0000-0000-000001000000}">
      <text>
        <r>
          <rPr>
            <sz val="10"/>
            <color rgb="FF000000"/>
            <rFont val="Tahoma"/>
            <family val="2"/>
          </rPr>
          <t>select year_fore, avg_fore*8.76 as gwh from load_scale where load_scenario='IGP_2020_03' and year_hist=2007 and year_fore &gt;= 2020 and year_fore &lt;= 2045 order by year_fore;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<sst xmlns="http://schemas.openxmlformats.org/spreadsheetml/2006/main" count="106" uniqueCount="55">
  <si>
    <t>owner</t>
  </si>
  <si>
    <t>variable</t>
  </si>
  <si>
    <t>HECO</t>
  </si>
  <si>
    <t>amortized_cost</t>
  </si>
  <si>
    <t>capacity_in_place</t>
  </si>
  <si>
    <t>capacity_retired</t>
  </si>
  <si>
    <t>fixed_om</t>
  </si>
  <si>
    <t>fuel_cost</t>
  </si>
  <si>
    <t>non_renewable_output</t>
  </si>
  <si>
    <t>renewable_output</t>
  </si>
  <si>
    <t>total_output</t>
  </si>
  <si>
    <t>variable_om</t>
  </si>
  <si>
    <t>PPA</t>
  </si>
  <si>
    <t>capacity_added</t>
  </si>
  <si>
    <t>capital_outlay</t>
  </si>
  <si>
    <t>ppa_cost</t>
  </si>
  <si>
    <t>storage_load</t>
  </si>
  <si>
    <t>storage_net_load</t>
  </si>
  <si>
    <t>distributed</t>
  </si>
  <si>
    <t>system</t>
  </si>
  <si>
    <t>co2_emissions</t>
  </si>
  <si>
    <t>ev_load</t>
  </si>
  <si>
    <t>gross_load</t>
  </si>
  <si>
    <t>total load</t>
  </si>
  <si>
    <t>total production</t>
  </si>
  <si>
    <t>gross load</t>
  </si>
  <si>
    <t>ev load</t>
  </si>
  <si>
    <t/>
  </si>
  <si>
    <t>non-storage production</t>
  </si>
  <si>
    <t>hydro net production</t>
  </si>
  <si>
    <t>storage load</t>
  </si>
  <si>
    <t>does HECO plan include EVs or self-supply?</t>
  </si>
  <si>
    <t>DGPV</t>
  </si>
  <si>
    <t>EV</t>
  </si>
  <si>
    <t>diff</t>
  </si>
  <si>
    <t>we raised nominal load (underlying forecast plus efficiency) by x%, and our sample days had x% higher than typical loads</t>
  </si>
  <si>
    <t>gross load forecast (back end)</t>
  </si>
  <si>
    <t>sample error</t>
  </si>
  <si>
    <t>^^^ why does this change? Should be constant or maybe small random variations</t>
  </si>
  <si>
    <t>gross load uncalibrated</t>
  </si>
  <si>
    <t>adjustment</t>
  </si>
  <si>
    <t>PSIP + EV</t>
  </si>
  <si>
    <t>vvv--- equal to total production plus hydro production</t>
  </si>
  <si>
    <t>Scn 2.1 gross load</t>
  </si>
  <si>
    <t>Scn 2.1 gross + EV</t>
  </si>
  <si>
    <t>Scn 2.1 gross + EV + batt. losses</t>
  </si>
  <si>
    <t>IGP underlying + efficiency</t>
  </si>
  <si>
    <t>IGP underlying forecast</t>
  </si>
  <si>
    <t>IGP energy efficiency</t>
  </si>
  <si>
    <t>&lt; leap year</t>
  </si>
  <si>
    <t>HECO Plan</t>
  </si>
  <si>
    <t>Scn 2.1 gross + EV + losses – DER</t>
  </si>
  <si>
    <t>IGP underlying + DER/BESS</t>
  </si>
  <si>
    <t xml:space="preserve">IGP underlying + DER + Eff + EV </t>
  </si>
  <si>
    <t>IGP underlying + DER + 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</si>
</sst>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,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85368468220268"/>
          <c:y val="5.4752709897711305E-2"/>
          <c:w val="0.51279162503752751"/>
          <c:h val="0.84851881665468043"/>
        </c:manualLayout>
      </c:layout>
      <c:lineChart>
        <c:grouping val="standard"/>
        <c:varyColors val="0"/>
        <c:ser>
          <c:idx val="0"/>
          <c:order val="0"/>
          <c:tx>
            <c:strRef>
              <c:f>annual_details_by_owner!$X$48</c:f>
              <c:strCache>
                <c:ptCount val="1"/>
                <c:pt idx="0">
                  <c:v>HECO Plan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annual_details_by_owner!$B$49:$B$74</c:f>
              <c:numCache>
                <c:formatCode>General</c:formatCode>
                <c:ptCount val="2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</c:numCache>
            </c:numRef>
          </c:cat>
          <c:val>
            <c:numRef>
              <c:f>annual_details_by_owner!$X$49:$X$74</c:f>
              <c:numCache>
                <c:formatCode>#,##0</c:formatCode>
                <c:ptCount val="26"/>
                <c:pt idx="0">
                  <c:v>7866</c:v>
                </c:pt>
                <c:pt idx="1">
                  <c:v>7898</c:v>
                </c:pt>
                <c:pt idx="2">
                  <c:v>8043</c:v>
                </c:pt>
                <c:pt idx="3">
                  <c:v>8053</c:v>
                </c:pt>
                <c:pt idx="4">
                  <c:v>8093</c:v>
                </c:pt>
                <c:pt idx="5">
                  <c:v>8086</c:v>
                </c:pt>
                <c:pt idx="6">
                  <c:v>8040</c:v>
                </c:pt>
                <c:pt idx="7">
                  <c:v>7972</c:v>
                </c:pt>
                <c:pt idx="8">
                  <c:v>7939</c:v>
                </c:pt>
                <c:pt idx="9">
                  <c:v>7858</c:v>
                </c:pt>
                <c:pt idx="10">
                  <c:v>7786</c:v>
                </c:pt>
                <c:pt idx="11">
                  <c:v>7760</c:v>
                </c:pt>
                <c:pt idx="12">
                  <c:v>7758</c:v>
                </c:pt>
                <c:pt idx="13">
                  <c:v>7785</c:v>
                </c:pt>
                <c:pt idx="14">
                  <c:v>7796</c:v>
                </c:pt>
                <c:pt idx="15">
                  <c:v>7860</c:v>
                </c:pt>
                <c:pt idx="16">
                  <c:v>7921</c:v>
                </c:pt>
                <c:pt idx="17">
                  <c:v>7938</c:v>
                </c:pt>
                <c:pt idx="18">
                  <c:v>8003</c:v>
                </c:pt>
                <c:pt idx="19">
                  <c:v>8095</c:v>
                </c:pt>
                <c:pt idx="20">
                  <c:v>8271</c:v>
                </c:pt>
                <c:pt idx="21">
                  <c:v>8328</c:v>
                </c:pt>
                <c:pt idx="22">
                  <c:v>8450</c:v>
                </c:pt>
                <c:pt idx="23">
                  <c:v>8589</c:v>
                </c:pt>
                <c:pt idx="24">
                  <c:v>8762</c:v>
                </c:pt>
                <c:pt idx="25">
                  <c:v>8874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9D-4A44-9E05-AC8979476D8D}"/>
            </c:ext>
          </c:extLst>
        </c:ser>
        <c:ser>
          <c:idx val="2"/>
          <c:order val="1"/>
          <c:tx>
            <c:strRef>
              <c:f>annual_details_by_owner!$AA$48</c:f>
              <c:strCache>
                <c:ptCount val="1"/>
                <c:pt idx="0">
                  <c:v>Scn 2.1 gross + EV + batt. losses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annual_details_by_owner!$B$49:$B$74</c:f>
              <c:numCache>
                <c:formatCode>General</c:formatCode>
                <c:ptCount val="2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</c:numCache>
            </c:numRef>
          </c:cat>
          <c:val>
            <c:numRef>
              <c:f>annual_details_by_owner!$AA$49:$AA$74</c:f>
              <c:numCache>
                <c:formatCode>#,##0.00</c:formatCode>
                <c:ptCount val="26"/>
                <c:pt idx="0">
                  <c:v>7947.2161966879985</c:v>
                </c:pt>
                <c:pt idx="1">
                  <c:v>7970.7124824741149</c:v>
                </c:pt>
                <c:pt idx="2">
                  <c:v>8064.0012058219545</c:v>
                </c:pt>
                <c:pt idx="3">
                  <c:v>8150.4005236544217</c:v>
                </c:pt>
                <c:pt idx="4">
                  <c:v>8236.9934934259181</c:v>
                </c:pt>
                <c:pt idx="5">
                  <c:v>8370.3545713812164</c:v>
                </c:pt>
                <c:pt idx="6">
                  <c:v>8414.1692100920573</c:v>
                </c:pt>
                <c:pt idx="7">
                  <c:v>8475.31887102152</c:v>
                </c:pt>
                <c:pt idx="8">
                  <c:v>8529.6971418508547</c:v>
                </c:pt>
                <c:pt idx="9">
                  <c:v>8626.6670645952909</c:v>
                </c:pt>
                <c:pt idx="10">
                  <c:v>8732.6562925109138</c:v>
                </c:pt>
                <c:pt idx="11">
                  <c:v>8794.7343758933239</c:v>
                </c:pt>
                <c:pt idx="12">
                  <c:v>8835.842285793402</c:v>
                </c:pt>
                <c:pt idx="13">
                  <c:v>8930.4751070209622</c:v>
                </c:pt>
                <c:pt idx="14">
                  <c:v>8991.0140254798771</c:v>
                </c:pt>
                <c:pt idx="15">
                  <c:v>9059.5781850323619</c:v>
                </c:pt>
                <c:pt idx="16">
                  <c:v>9133.7349463752962</c:v>
                </c:pt>
                <c:pt idx="17">
                  <c:v>9215.4286513349089</c:v>
                </c:pt>
                <c:pt idx="18">
                  <c:v>9301.4618254189645</c:v>
                </c:pt>
                <c:pt idx="19">
                  <c:v>9407.3944872015836</c:v>
                </c:pt>
                <c:pt idx="20">
                  <c:v>9535.8295604435571</c:v>
                </c:pt>
                <c:pt idx="21">
                  <c:v>9649.5483161586835</c:v>
                </c:pt>
                <c:pt idx="22">
                  <c:v>9775.2077147797372</c:v>
                </c:pt>
                <c:pt idx="23">
                  <c:v>9919.7168655044552</c:v>
                </c:pt>
                <c:pt idx="24">
                  <c:v>10041.846890588387</c:v>
                </c:pt>
                <c:pt idx="25">
                  <c:v>10192.257787375438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9D-4A44-9E05-AC8979476D8D}"/>
            </c:ext>
          </c:extLst>
        </c:ser>
        <c:ser>
          <c:idx val="1"/>
          <c:order val="2"/>
          <c:tx>
            <c:strRef>
              <c:f>annual_details_by_owner!$Z$48</c:f>
              <c:strCache>
                <c:ptCount val="1"/>
                <c:pt idx="0">
                  <c:v>Scn 2.1 gross + EV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annual_details_by_owner!$B$49:$B$74</c:f>
              <c:numCache>
                <c:formatCode>General</c:formatCode>
                <c:ptCount val="2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</c:numCache>
            </c:numRef>
          </c:cat>
          <c:val>
            <c:numRef>
              <c:f>annual_details_by_owner!$Z$49:$Z$74</c:f>
              <c:numCache>
                <c:formatCode>#,##0.00</c:formatCode>
                <c:ptCount val="26"/>
                <c:pt idx="0">
                  <c:v>7942.29039872254</c:v>
                </c:pt>
                <c:pt idx="1">
                  <c:v>7959.7892847294361</c:v>
                </c:pt>
                <c:pt idx="2">
                  <c:v>8030.1057230508486</c:v>
                </c:pt>
                <c:pt idx="3">
                  <c:v>8100.4808751667051</c:v>
                </c:pt>
                <c:pt idx="4">
                  <c:v>8172.4514821278099</c:v>
                </c:pt>
                <c:pt idx="5">
                  <c:v>8287.3578880040059</c:v>
                </c:pt>
                <c:pt idx="6">
                  <c:v>8321.5716203034826</c:v>
                </c:pt>
                <c:pt idx="7">
                  <c:v>8358.0616400505351</c:v>
                </c:pt>
                <c:pt idx="8">
                  <c:v>8395.4588980333756</c:v>
                </c:pt>
                <c:pt idx="9">
                  <c:v>8475.7378207766342</c:v>
                </c:pt>
                <c:pt idx="10">
                  <c:v>8570.4419156019412</c:v>
                </c:pt>
                <c:pt idx="11">
                  <c:v>8625.3415356440746</c:v>
                </c:pt>
                <c:pt idx="12">
                  <c:v>8659.4122924639323</c:v>
                </c:pt>
                <c:pt idx="13">
                  <c:v>8747.9365448353165</c:v>
                </c:pt>
                <c:pt idx="14">
                  <c:v>8801.2328907528208</c:v>
                </c:pt>
                <c:pt idx="15">
                  <c:v>8861.8643938644273</c:v>
                </c:pt>
                <c:pt idx="16">
                  <c:v>8932.8126104485054</c:v>
                </c:pt>
                <c:pt idx="17">
                  <c:v>9011.2244916541895</c:v>
                </c:pt>
                <c:pt idx="18">
                  <c:v>9093.8411707145697</c:v>
                </c:pt>
                <c:pt idx="19">
                  <c:v>9197.1826407487461</c:v>
                </c:pt>
                <c:pt idx="20">
                  <c:v>9322.0508569403173</c:v>
                </c:pt>
                <c:pt idx="21">
                  <c:v>9414.147166628858</c:v>
                </c:pt>
                <c:pt idx="22">
                  <c:v>9524.6153000711129</c:v>
                </c:pt>
                <c:pt idx="23">
                  <c:v>9653.9126963091912</c:v>
                </c:pt>
                <c:pt idx="24">
                  <c:v>9793.3477605716289</c:v>
                </c:pt>
                <c:pt idx="25">
                  <c:v>9926.3202294591702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9D-4A44-9E05-AC8979476D8D}"/>
            </c:ext>
          </c:extLst>
        </c:ser>
        <c:ser>
          <c:idx val="6"/>
          <c:order val="3"/>
          <c:tx>
            <c:strRef>
              <c:f>annual_details_by_owner!$Y$48</c:f>
              <c:strCache>
                <c:ptCount val="1"/>
                <c:pt idx="0">
                  <c:v>Scn 2.1 gross load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annual_details_by_owner!$B$49:$B$74</c:f>
              <c:numCache>
                <c:formatCode>General</c:formatCode>
                <c:ptCount val="2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</c:numCache>
            </c:numRef>
          </c:cat>
          <c:val>
            <c:numRef>
              <c:f>annual_details_by_owner!$Y$49:$Y$74</c:f>
              <c:numCache>
                <c:formatCode>General</c:formatCode>
                <c:ptCount val="26"/>
                <c:pt idx="0">
                  <c:v>7917.6443531826699</c:v>
                </c:pt>
                <c:pt idx="1">
                  <c:v>7929.7979314472495</c:v>
                </c:pt>
                <c:pt idx="2">
                  <c:v>7993.6719785876403</c:v>
                </c:pt>
                <c:pt idx="3">
                  <c:v>8056.38605165442</c:v>
                </c:pt>
                <c:pt idx="4">
                  <c:v>8119.2997722034697</c:v>
                </c:pt>
                <c:pt idx="5">
                  <c:v>8223.6054441297692</c:v>
                </c:pt>
                <c:pt idx="6">
                  <c:v>8245.5529905121602</c:v>
                </c:pt>
                <c:pt idx="7">
                  <c:v>8267.9527579018704</c:v>
                </c:pt>
                <c:pt idx="8">
                  <c:v>8289.2427161448795</c:v>
                </c:pt>
                <c:pt idx="9">
                  <c:v>8351.243964441861</c:v>
                </c:pt>
                <c:pt idx="10">
                  <c:v>8425.3599006632303</c:v>
                </c:pt>
                <c:pt idx="11">
                  <c:v>8457.215481343459</c:v>
                </c:pt>
                <c:pt idx="12">
                  <c:v>8465.6356342940289</c:v>
                </c:pt>
                <c:pt idx="13">
                  <c:v>8525.74146024113</c:v>
                </c:pt>
                <c:pt idx="14">
                  <c:v>8547.7061605790404</c:v>
                </c:pt>
                <c:pt idx="15">
                  <c:v>8573.9077487371687</c:v>
                </c:pt>
                <c:pt idx="16">
                  <c:v>8611.26406350047</c:v>
                </c:pt>
                <c:pt idx="17">
                  <c:v>8650.7704580376703</c:v>
                </c:pt>
                <c:pt idx="18">
                  <c:v>8687.2541176068717</c:v>
                </c:pt>
                <c:pt idx="19">
                  <c:v>8736.5133394747209</c:v>
                </c:pt>
                <c:pt idx="20">
                  <c:v>8798.5781550558986</c:v>
                </c:pt>
                <c:pt idx="21">
                  <c:v>8817.0747056673717</c:v>
                </c:pt>
                <c:pt idx="22">
                  <c:v>8851.8810918827003</c:v>
                </c:pt>
                <c:pt idx="23">
                  <c:v>8902.5691552693806</c:v>
                </c:pt>
                <c:pt idx="24">
                  <c:v>8958.1817576656595</c:v>
                </c:pt>
                <c:pt idx="25">
                  <c:v>9000.4267479595801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79D-4A44-9E05-AC8979476D8D}"/>
            </c:ext>
          </c:extLst>
        </c:ser>
        <c:ser>
          <c:idx val="3"/>
          <c:order val="4"/>
          <c:tx>
            <c:strRef>
              <c:f>annual_details_by_owner!$AD$48</c:f>
              <c:strCache>
                <c:ptCount val="1"/>
                <c:pt idx="0">
                  <c:v>IGP underlying + efficiency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annual_details_by_owner!$B$49:$B$74</c:f>
              <c:numCache>
                <c:formatCode>General</c:formatCode>
                <c:ptCount val="2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</c:numCache>
            </c:numRef>
          </c:cat>
          <c:val>
            <c:numRef>
              <c:f>annual_details_by_owner!$AD$49:$AD$74</c:f>
              <c:numCache>
                <c:formatCode>#,##0.00</c:formatCode>
                <c:ptCount val="26"/>
                <c:pt idx="0">
                  <c:v>7373.8000000000011</c:v>
                </c:pt>
                <c:pt idx="1">
                  <c:v>7364.5000000000018</c:v>
                </c:pt>
                <c:pt idx="2">
                  <c:v>7424.2999999999975</c:v>
                </c:pt>
                <c:pt idx="3">
                  <c:v>7482.800000000002</c:v>
                </c:pt>
                <c:pt idx="4">
                  <c:v>7562.4</c:v>
                </c:pt>
                <c:pt idx="5">
                  <c:v>7637.6999999999989</c:v>
                </c:pt>
                <c:pt idx="6">
                  <c:v>7658.1</c:v>
                </c:pt>
                <c:pt idx="7">
                  <c:v>7678.5000000000018</c:v>
                </c:pt>
                <c:pt idx="8">
                  <c:v>7720.2999999999993</c:v>
                </c:pt>
                <c:pt idx="9">
                  <c:v>7756.6999999999971</c:v>
                </c:pt>
                <c:pt idx="10">
                  <c:v>7825.5999999999995</c:v>
                </c:pt>
                <c:pt idx="11">
                  <c:v>7854.0999999999995</c:v>
                </c:pt>
                <c:pt idx="12">
                  <c:v>7882.8000000000011</c:v>
                </c:pt>
                <c:pt idx="13">
                  <c:v>7917</c:v>
                </c:pt>
                <c:pt idx="14">
                  <c:v>7937.4000000000005</c:v>
                </c:pt>
                <c:pt idx="15">
                  <c:v>7962.6</c:v>
                </c:pt>
                <c:pt idx="16">
                  <c:v>8018.0999999999995</c:v>
                </c:pt>
                <c:pt idx="17">
                  <c:v>8031.7999999999993</c:v>
                </c:pt>
                <c:pt idx="18">
                  <c:v>8065.4999999999991</c:v>
                </c:pt>
                <c:pt idx="19">
                  <c:v>8111.6</c:v>
                </c:pt>
                <c:pt idx="20">
                  <c:v>8192.9</c:v>
                </c:pt>
                <c:pt idx="21">
                  <c:v>8188.4000000000015</c:v>
                </c:pt>
                <c:pt idx="22">
                  <c:v>8219.7999999999993</c:v>
                </c:pt>
                <c:pt idx="23">
                  <c:v>8264.5</c:v>
                </c:pt>
                <c:pt idx="24">
                  <c:v>8338.0999999999985</c:v>
                </c:pt>
                <c:pt idx="25">
                  <c:v>8357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79D-4A44-9E05-AC8979476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591695"/>
        <c:axId val="217081295"/>
      </c:lineChart>
      <c:catAx>
        <c:axId val="2115916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081295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217081295"/>
        <c:scaling>
          <c:orientation val="minMax"/>
          <c:min val="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load (GWh)</a:t>
                </a:r>
              </a:p>
            </c:rich>
          </c:tx>
          <c:layout>
            <c:manualLayout>
              <c:xMode val="edge"/>
              <c:yMode val="edge"/>
              <c:x val="3.377207196668731E-5"/>
              <c:y val="0.268486630204485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9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371220484327729"/>
          <c:y val="0.22947467720611636"/>
          <c:w val="0.35516905532163695"/>
          <c:h val="0.358892808582968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8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85368468220268"/>
          <c:y val="5.4752709897711305E-2"/>
          <c:w val="0.51279162503752751"/>
          <c:h val="0.84851881665468043"/>
        </c:manualLayout>
      </c:layout>
      <c:lineChart>
        <c:grouping val="standard"/>
        <c:varyColors val="0"/>
        <c:ser>
          <c:idx val="0"/>
          <c:order val="0"/>
          <c:tx>
            <c:strRef>
              <c:f>annual_details_by_owner!$X$48</c:f>
              <c:strCache>
                <c:ptCount val="1"/>
                <c:pt idx="0">
                  <c:v>HECO Plan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annual_details_by_owner!$B$49:$B$74</c:f>
              <c:numCache>
                <c:formatCode>General</c:formatCode>
                <c:ptCount val="2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</c:numCache>
            </c:numRef>
          </c:cat>
          <c:val>
            <c:numRef>
              <c:f>annual_details_by_owner!$X$49:$X$74</c:f>
              <c:numCache>
                <c:formatCode>#,##0</c:formatCode>
                <c:ptCount val="26"/>
                <c:pt idx="0">
                  <c:v>7866</c:v>
                </c:pt>
                <c:pt idx="1">
                  <c:v>7898</c:v>
                </c:pt>
                <c:pt idx="2">
                  <c:v>8043</c:v>
                </c:pt>
                <c:pt idx="3">
                  <c:v>8053</c:v>
                </c:pt>
                <c:pt idx="4">
                  <c:v>8093</c:v>
                </c:pt>
                <c:pt idx="5">
                  <c:v>8086</c:v>
                </c:pt>
                <c:pt idx="6">
                  <c:v>8040</c:v>
                </c:pt>
                <c:pt idx="7">
                  <c:v>7972</c:v>
                </c:pt>
                <c:pt idx="8">
                  <c:v>7939</c:v>
                </c:pt>
                <c:pt idx="9">
                  <c:v>7858</c:v>
                </c:pt>
                <c:pt idx="10">
                  <c:v>7786</c:v>
                </c:pt>
                <c:pt idx="11">
                  <c:v>7760</c:v>
                </c:pt>
                <c:pt idx="12">
                  <c:v>7758</c:v>
                </c:pt>
                <c:pt idx="13">
                  <c:v>7785</c:v>
                </c:pt>
                <c:pt idx="14">
                  <c:v>7796</c:v>
                </c:pt>
                <c:pt idx="15">
                  <c:v>7860</c:v>
                </c:pt>
                <c:pt idx="16">
                  <c:v>7921</c:v>
                </c:pt>
                <c:pt idx="17">
                  <c:v>7938</c:v>
                </c:pt>
                <c:pt idx="18">
                  <c:v>8003</c:v>
                </c:pt>
                <c:pt idx="19">
                  <c:v>8095</c:v>
                </c:pt>
                <c:pt idx="20">
                  <c:v>8271</c:v>
                </c:pt>
                <c:pt idx="21">
                  <c:v>8328</c:v>
                </c:pt>
                <c:pt idx="22">
                  <c:v>8450</c:v>
                </c:pt>
                <c:pt idx="23">
                  <c:v>8589</c:v>
                </c:pt>
                <c:pt idx="24">
                  <c:v>8762</c:v>
                </c:pt>
                <c:pt idx="25">
                  <c:v>8874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0D-5C49-8085-20858CAFC3CE}"/>
            </c:ext>
          </c:extLst>
        </c:ser>
        <c:ser>
          <c:idx val="2"/>
          <c:order val="1"/>
          <c:tx>
            <c:strRef>
              <c:f>annual_details_by_owner!$AG$48</c:f>
              <c:strCache>
                <c:ptCount val="1"/>
                <c:pt idx="0">
                  <c:v>IGP underlying + DER + Eff + EV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annual_details_by_owner!$B$49:$B$74</c:f>
              <c:numCache>
                <c:formatCode>General</c:formatCode>
                <c:ptCount val="2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</c:numCache>
            </c:numRef>
          </c:cat>
          <c:val>
            <c:numRef>
              <c:f>annual_details_by_owner!$AG$49:$AG$74</c:f>
              <c:numCache>
                <c:formatCode>#,##0.00</c:formatCode>
                <c:ptCount val="26"/>
                <c:pt idx="0">
                  <c:v>6467.3000000000011</c:v>
                </c:pt>
                <c:pt idx="1">
                  <c:v>6416.300000000002</c:v>
                </c:pt>
                <c:pt idx="2">
                  <c:v>6430.8999999999987</c:v>
                </c:pt>
                <c:pt idx="3">
                  <c:v>6457.800000000002</c:v>
                </c:pt>
                <c:pt idx="4">
                  <c:v>6522.3999999999987</c:v>
                </c:pt>
                <c:pt idx="5">
                  <c:v>6589.0999999999985</c:v>
                </c:pt>
                <c:pt idx="6">
                  <c:v>6599.3</c:v>
                </c:pt>
                <c:pt idx="7">
                  <c:v>6611.7000000000025</c:v>
                </c:pt>
                <c:pt idx="8">
                  <c:v>6645.4000000000005</c:v>
                </c:pt>
                <c:pt idx="9">
                  <c:v>6681.2999999999965</c:v>
                </c:pt>
                <c:pt idx="10">
                  <c:v>6753.4</c:v>
                </c:pt>
                <c:pt idx="11">
                  <c:v>6787.5999999999995</c:v>
                </c:pt>
                <c:pt idx="12">
                  <c:v>6823.7</c:v>
                </c:pt>
                <c:pt idx="13">
                  <c:v>6878.7000000000007</c:v>
                </c:pt>
                <c:pt idx="14">
                  <c:v>6922.7000000000007</c:v>
                </c:pt>
                <c:pt idx="15">
                  <c:v>6977.2000000000007</c:v>
                </c:pt>
                <c:pt idx="16">
                  <c:v>7058.2999999999993</c:v>
                </c:pt>
                <c:pt idx="17">
                  <c:v>7111.7999999999984</c:v>
                </c:pt>
                <c:pt idx="18">
                  <c:v>7185.7999999999984</c:v>
                </c:pt>
                <c:pt idx="19">
                  <c:v>7285.8000000000011</c:v>
                </c:pt>
                <c:pt idx="20">
                  <c:v>7431.6999999999989</c:v>
                </c:pt>
                <c:pt idx="21">
                  <c:v>7512.0000000000009</c:v>
                </c:pt>
                <c:pt idx="22">
                  <c:v>7637.2999999999993</c:v>
                </c:pt>
                <c:pt idx="23">
                  <c:v>7776.4000000000005</c:v>
                </c:pt>
                <c:pt idx="24">
                  <c:v>7945.4999999999982</c:v>
                </c:pt>
                <c:pt idx="25">
                  <c:v>8079.2999999999993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0D-5C49-8085-20858CAFC3CE}"/>
            </c:ext>
          </c:extLst>
        </c:ser>
        <c:ser>
          <c:idx val="1"/>
          <c:order val="2"/>
          <c:tx>
            <c:strRef>
              <c:f>annual_details_by_owner!$AF$48</c:f>
              <c:strCache>
                <c:ptCount val="1"/>
                <c:pt idx="0">
                  <c:v>IGP underlying + DER + Eff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annual_details_by_owner!$B$49:$B$74</c:f>
              <c:numCache>
                <c:formatCode>General</c:formatCode>
                <c:ptCount val="2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</c:numCache>
            </c:numRef>
          </c:cat>
          <c:val>
            <c:numRef>
              <c:f>annual_details_by_owner!$AF$49:$AF$74</c:f>
              <c:numCache>
                <c:formatCode>#,##0.00</c:formatCode>
                <c:ptCount val="26"/>
                <c:pt idx="0">
                  <c:v>6437.3000000000011</c:v>
                </c:pt>
                <c:pt idx="1">
                  <c:v>6378.4000000000015</c:v>
                </c:pt>
                <c:pt idx="2">
                  <c:v>6381.4999999999982</c:v>
                </c:pt>
                <c:pt idx="3">
                  <c:v>6396.9000000000024</c:v>
                </c:pt>
                <c:pt idx="4">
                  <c:v>6447.1999999999989</c:v>
                </c:pt>
                <c:pt idx="5">
                  <c:v>6496.9999999999982</c:v>
                </c:pt>
                <c:pt idx="6">
                  <c:v>6487.9</c:v>
                </c:pt>
                <c:pt idx="7">
                  <c:v>6478.2000000000025</c:v>
                </c:pt>
                <c:pt idx="8">
                  <c:v>6486.6</c:v>
                </c:pt>
                <c:pt idx="9">
                  <c:v>6494.0999999999967</c:v>
                </c:pt>
                <c:pt idx="10">
                  <c:v>6532.2</c:v>
                </c:pt>
                <c:pt idx="11">
                  <c:v>6530.5999999999995</c:v>
                </c:pt>
                <c:pt idx="12">
                  <c:v>6526.6</c:v>
                </c:pt>
                <c:pt idx="13">
                  <c:v>6536.6</c:v>
                </c:pt>
                <c:pt idx="14">
                  <c:v>6530.8</c:v>
                </c:pt>
                <c:pt idx="15">
                  <c:v>6529.8000000000011</c:v>
                </c:pt>
                <c:pt idx="16">
                  <c:v>6556.8999999999987</c:v>
                </c:pt>
                <c:pt idx="17">
                  <c:v>6550.5999999999985</c:v>
                </c:pt>
                <c:pt idx="18">
                  <c:v>6561.3999999999987</c:v>
                </c:pt>
                <c:pt idx="19">
                  <c:v>6585.8000000000011</c:v>
                </c:pt>
                <c:pt idx="20">
                  <c:v>6642.2999999999993</c:v>
                </c:pt>
                <c:pt idx="21">
                  <c:v>6620.4000000000015</c:v>
                </c:pt>
                <c:pt idx="22">
                  <c:v>6631.5999999999995</c:v>
                </c:pt>
                <c:pt idx="23">
                  <c:v>6656.2000000000007</c:v>
                </c:pt>
                <c:pt idx="24">
                  <c:v>6707.9999999999982</c:v>
                </c:pt>
                <c:pt idx="25">
                  <c:v>6713.7999999999993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0D-5C49-8085-20858CAFC3CE}"/>
            </c:ext>
          </c:extLst>
        </c:ser>
        <c:ser>
          <c:idx val="6"/>
          <c:order val="3"/>
          <c:tx>
            <c:strRef>
              <c:f>annual_details_by_owner!$AE$48</c:f>
              <c:strCache>
                <c:ptCount val="1"/>
                <c:pt idx="0">
                  <c:v>IGP underlying + DER/BESS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annual_details_by_owner!$B$49:$B$74</c:f>
              <c:numCache>
                <c:formatCode>General</c:formatCode>
                <c:ptCount val="2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</c:numCache>
            </c:numRef>
          </c:cat>
          <c:val>
            <c:numRef>
              <c:f>annual_details_by_owner!$AE$49:$AE$74</c:f>
              <c:numCache>
                <c:formatCode>#,##0.00</c:formatCode>
                <c:ptCount val="26"/>
                <c:pt idx="0">
                  <c:v>7833.2000000000007</c:v>
                </c:pt>
                <c:pt idx="1">
                  <c:v>7887.8000000000011</c:v>
                </c:pt>
                <c:pt idx="2">
                  <c:v>7994.699999999998</c:v>
                </c:pt>
                <c:pt idx="3">
                  <c:v>8099.7000000000025</c:v>
                </c:pt>
                <c:pt idx="4">
                  <c:v>8240.5999999999985</c:v>
                </c:pt>
                <c:pt idx="5">
                  <c:v>8383.6999999999989</c:v>
                </c:pt>
                <c:pt idx="6">
                  <c:v>8468</c:v>
                </c:pt>
                <c:pt idx="7">
                  <c:v>8545.1000000000022</c:v>
                </c:pt>
                <c:pt idx="8">
                  <c:v>8639.7000000000007</c:v>
                </c:pt>
                <c:pt idx="9">
                  <c:v>8725.7999999999975</c:v>
                </c:pt>
                <c:pt idx="10">
                  <c:v>8839.5</c:v>
                </c:pt>
                <c:pt idx="11">
                  <c:v>8913.5</c:v>
                </c:pt>
                <c:pt idx="12">
                  <c:v>8988.8000000000011</c:v>
                </c:pt>
                <c:pt idx="13">
                  <c:v>9066.8000000000011</c:v>
                </c:pt>
                <c:pt idx="14">
                  <c:v>9126.1</c:v>
                </c:pt>
                <c:pt idx="15">
                  <c:v>9183.9000000000015</c:v>
                </c:pt>
                <c:pt idx="16">
                  <c:v>9269.7999999999993</c:v>
                </c:pt>
                <c:pt idx="17">
                  <c:v>9310.5999999999985</c:v>
                </c:pt>
                <c:pt idx="18">
                  <c:v>9370.5999999999985</c:v>
                </c:pt>
                <c:pt idx="19">
                  <c:v>9446.4000000000015</c:v>
                </c:pt>
                <c:pt idx="20">
                  <c:v>9559.4</c:v>
                </c:pt>
                <c:pt idx="21">
                  <c:v>9583.5000000000018</c:v>
                </c:pt>
                <c:pt idx="22">
                  <c:v>9643.4</c:v>
                </c:pt>
                <c:pt idx="23">
                  <c:v>9713.7000000000007</c:v>
                </c:pt>
                <c:pt idx="24">
                  <c:v>9813.1999999999989</c:v>
                </c:pt>
                <c:pt idx="25">
                  <c:v>9855.9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0D-5C49-8085-20858CAFC3CE}"/>
            </c:ext>
          </c:extLst>
        </c:ser>
        <c:ser>
          <c:idx val="3"/>
          <c:order val="4"/>
          <c:tx>
            <c:strRef>
              <c:f>annual_details_by_owner!$AD$48</c:f>
              <c:strCache>
                <c:ptCount val="1"/>
                <c:pt idx="0">
                  <c:v>IGP underlying + efficiency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annual_details_by_owner!$B$49:$B$74</c:f>
              <c:numCache>
                <c:formatCode>General</c:formatCode>
                <c:ptCount val="2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</c:numCache>
            </c:numRef>
          </c:cat>
          <c:val>
            <c:numRef>
              <c:f>annual_details_by_owner!$AD$49:$AD$74</c:f>
              <c:numCache>
                <c:formatCode>#,##0.00</c:formatCode>
                <c:ptCount val="26"/>
                <c:pt idx="0">
                  <c:v>7373.8000000000011</c:v>
                </c:pt>
                <c:pt idx="1">
                  <c:v>7364.5000000000018</c:v>
                </c:pt>
                <c:pt idx="2">
                  <c:v>7424.2999999999975</c:v>
                </c:pt>
                <c:pt idx="3">
                  <c:v>7482.800000000002</c:v>
                </c:pt>
                <c:pt idx="4">
                  <c:v>7562.4</c:v>
                </c:pt>
                <c:pt idx="5">
                  <c:v>7637.6999999999989</c:v>
                </c:pt>
                <c:pt idx="6">
                  <c:v>7658.1</c:v>
                </c:pt>
                <c:pt idx="7">
                  <c:v>7678.5000000000018</c:v>
                </c:pt>
                <c:pt idx="8">
                  <c:v>7720.2999999999993</c:v>
                </c:pt>
                <c:pt idx="9">
                  <c:v>7756.6999999999971</c:v>
                </c:pt>
                <c:pt idx="10">
                  <c:v>7825.5999999999995</c:v>
                </c:pt>
                <c:pt idx="11">
                  <c:v>7854.0999999999995</c:v>
                </c:pt>
                <c:pt idx="12">
                  <c:v>7882.8000000000011</c:v>
                </c:pt>
                <c:pt idx="13">
                  <c:v>7917</c:v>
                </c:pt>
                <c:pt idx="14">
                  <c:v>7937.4000000000005</c:v>
                </c:pt>
                <c:pt idx="15">
                  <c:v>7962.6</c:v>
                </c:pt>
                <c:pt idx="16">
                  <c:v>8018.0999999999995</c:v>
                </c:pt>
                <c:pt idx="17">
                  <c:v>8031.7999999999993</c:v>
                </c:pt>
                <c:pt idx="18">
                  <c:v>8065.4999999999991</c:v>
                </c:pt>
                <c:pt idx="19">
                  <c:v>8111.6</c:v>
                </c:pt>
                <c:pt idx="20">
                  <c:v>8192.9</c:v>
                </c:pt>
                <c:pt idx="21">
                  <c:v>8188.4000000000015</c:v>
                </c:pt>
                <c:pt idx="22">
                  <c:v>8219.7999999999993</c:v>
                </c:pt>
                <c:pt idx="23">
                  <c:v>8264.5</c:v>
                </c:pt>
                <c:pt idx="24">
                  <c:v>8338.0999999999985</c:v>
                </c:pt>
                <c:pt idx="25">
                  <c:v>8357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0D-5C49-8085-20858CAFC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591695"/>
        <c:axId val="217081295"/>
      </c:lineChart>
      <c:catAx>
        <c:axId val="2115916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081295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21708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load (GWh)</a:t>
                </a:r>
              </a:p>
            </c:rich>
          </c:tx>
          <c:layout>
            <c:manualLayout>
              <c:xMode val="edge"/>
              <c:yMode val="edge"/>
              <c:x val="3.377207196668731E-5"/>
              <c:y val="0.268486630204485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9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371220484327729"/>
          <c:y val="0.22947467720611636"/>
          <c:w val="0.35516905532163695"/>
          <c:h val="0.358892808582968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8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438727</xdr:colOff>
      <xdr:row>47</xdr:row>
      <xdr:rowOff>57727</xdr:rowOff>
    </xdr:from>
    <xdr:to>
      <xdr:col>47</xdr:col>
      <xdr:colOff>681181</xdr:colOff>
      <xdr:row>70</xdr:row>
      <xdr:rowOff>12122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9DAE36-DA11-1443-8EF4-C94DC15AB0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242455</xdr:colOff>
      <xdr:row>72</xdr:row>
      <xdr:rowOff>11545</xdr:rowOff>
    </xdr:from>
    <xdr:to>
      <xdr:col>47</xdr:col>
      <xdr:colOff>484909</xdr:colOff>
      <xdr:row>94</xdr:row>
      <xdr:rowOff>173758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10E92B-9345-2B48-B65C-D6C7B3833C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tthias/Dropbox/Research/shared/Switch-Hawaii/data/Loads/oahu_IGP_forecast_by_lay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lide 18 graph data"/>
      <sheetName val="Slide 18 by layers"/>
      <sheetName val="Slide 19 graph data"/>
      <sheetName val="Slide 19 by layers"/>
    </sheetNames>
    <sheetDataSet>
      <sheetData sheetId="0"/>
      <sheetData sheetId="1">
        <row r="41">
          <cell r="C41">
            <v>8769.7000000000007</v>
          </cell>
          <cell r="D41">
            <v>-936.50000000000011</v>
          </cell>
          <cell r="E41">
            <v>-1395.9</v>
          </cell>
          <cell r="F41">
            <v>29.6</v>
          </cell>
          <cell r="G41">
            <v>0.4</v>
          </cell>
        </row>
        <row r="42">
          <cell r="C42">
            <v>8873.9000000000015</v>
          </cell>
          <cell r="D42">
            <v>-986.09999999999991</v>
          </cell>
          <cell r="E42">
            <v>-1509.4</v>
          </cell>
          <cell r="F42">
            <v>34.299999999999997</v>
          </cell>
          <cell r="G42">
            <v>3.6</v>
          </cell>
        </row>
        <row r="43">
          <cell r="C43">
            <v>9037.4999999999982</v>
          </cell>
          <cell r="D43">
            <v>-1042.8000000000002</v>
          </cell>
          <cell r="E43">
            <v>-1613.2000000000003</v>
          </cell>
          <cell r="F43">
            <v>41.1</v>
          </cell>
          <cell r="G43">
            <v>8.3000000000000007</v>
          </cell>
        </row>
        <row r="44">
          <cell r="C44">
            <v>9185.6000000000022</v>
          </cell>
          <cell r="D44">
            <v>-1085.8999999999999</v>
          </cell>
          <cell r="E44">
            <v>-1702.8000000000002</v>
          </cell>
          <cell r="F44">
            <v>49.2</v>
          </cell>
          <cell r="G44">
            <v>11.7</v>
          </cell>
        </row>
        <row r="45">
          <cell r="C45">
            <v>9355.7999999999993</v>
          </cell>
          <cell r="D45">
            <v>-1115.2</v>
          </cell>
          <cell r="E45">
            <v>-1793.4</v>
          </cell>
          <cell r="F45">
            <v>59.7</v>
          </cell>
          <cell r="G45">
            <v>15.5</v>
          </cell>
        </row>
        <row r="46">
          <cell r="C46">
            <v>9524.4</v>
          </cell>
          <cell r="D46">
            <v>-1140.7</v>
          </cell>
          <cell r="E46">
            <v>-1886.7000000000003</v>
          </cell>
          <cell r="F46">
            <v>72.099999999999994</v>
          </cell>
          <cell r="G46">
            <v>20</v>
          </cell>
        </row>
        <row r="47">
          <cell r="C47">
            <v>9638.2000000000007</v>
          </cell>
          <cell r="D47">
            <v>-1170.2</v>
          </cell>
          <cell r="E47">
            <v>-1980.1000000000004</v>
          </cell>
          <cell r="F47">
            <v>87.6</v>
          </cell>
          <cell r="G47">
            <v>23.8</v>
          </cell>
        </row>
        <row r="48">
          <cell r="C48">
            <v>9745.4000000000015</v>
          </cell>
          <cell r="D48">
            <v>-1200.3</v>
          </cell>
          <cell r="E48">
            <v>-2066.9</v>
          </cell>
          <cell r="F48">
            <v>105.8</v>
          </cell>
          <cell r="G48">
            <v>27.7</v>
          </cell>
        </row>
        <row r="49">
          <cell r="C49">
            <v>9873.4</v>
          </cell>
          <cell r="D49">
            <v>-1233.6999999999998</v>
          </cell>
          <cell r="E49">
            <v>-2153.1000000000004</v>
          </cell>
          <cell r="F49">
            <v>127.10000000000001</v>
          </cell>
          <cell r="G49">
            <v>31.7</v>
          </cell>
        </row>
        <row r="50">
          <cell r="C50">
            <v>9988.3999999999978</v>
          </cell>
          <cell r="D50">
            <v>-1262.6000000000001</v>
          </cell>
          <cell r="E50">
            <v>-2231.7000000000003</v>
          </cell>
          <cell r="F50">
            <v>151.80000000000001</v>
          </cell>
          <cell r="G50">
            <v>35.4</v>
          </cell>
        </row>
        <row r="51">
          <cell r="C51">
            <v>10132.9</v>
          </cell>
          <cell r="D51">
            <v>-1293.3999999999999</v>
          </cell>
          <cell r="E51">
            <v>-2307.3000000000002</v>
          </cell>
          <cell r="F51">
            <v>180.20000000000002</v>
          </cell>
          <cell r="G51">
            <v>41</v>
          </cell>
        </row>
        <row r="52">
          <cell r="C52">
            <v>10237</v>
          </cell>
          <cell r="D52">
            <v>-1323.4999999999998</v>
          </cell>
          <cell r="E52">
            <v>-2382.9000000000005</v>
          </cell>
          <cell r="F52">
            <v>212.10000000000002</v>
          </cell>
          <cell r="G52">
            <v>44.9</v>
          </cell>
        </row>
        <row r="53">
          <cell r="C53">
            <v>10345.000000000002</v>
          </cell>
          <cell r="D53">
            <v>-1356.2</v>
          </cell>
          <cell r="E53">
            <v>-2462.2000000000003</v>
          </cell>
          <cell r="F53">
            <v>248.2</v>
          </cell>
          <cell r="G53">
            <v>48.9</v>
          </cell>
        </row>
        <row r="54">
          <cell r="C54">
            <v>10447.200000000001</v>
          </cell>
          <cell r="D54">
            <v>-1380.4</v>
          </cell>
          <cell r="E54">
            <v>-2530.2000000000003</v>
          </cell>
          <cell r="F54">
            <v>289.3</v>
          </cell>
          <cell r="G54">
            <v>52.8</v>
          </cell>
        </row>
        <row r="55">
          <cell r="C55">
            <v>10532.7</v>
          </cell>
          <cell r="D55">
            <v>-1406.6</v>
          </cell>
          <cell r="E55">
            <v>-2595.3000000000002</v>
          </cell>
          <cell r="F55">
            <v>335.3</v>
          </cell>
          <cell r="G55">
            <v>56.6</v>
          </cell>
        </row>
        <row r="56">
          <cell r="C56">
            <v>10616.7</v>
          </cell>
          <cell r="D56">
            <v>-1432.8</v>
          </cell>
          <cell r="E56">
            <v>-2654.1000000000004</v>
          </cell>
          <cell r="F56">
            <v>386.7</v>
          </cell>
          <cell r="G56">
            <v>60.7</v>
          </cell>
        </row>
        <row r="57">
          <cell r="C57">
            <v>10731</v>
          </cell>
          <cell r="D57">
            <v>-1461.2</v>
          </cell>
          <cell r="E57">
            <v>-2712.9000000000005</v>
          </cell>
          <cell r="F57">
            <v>440.1</v>
          </cell>
          <cell r="G57">
            <v>61.3</v>
          </cell>
        </row>
        <row r="58">
          <cell r="C58">
            <v>10791.8</v>
          </cell>
          <cell r="D58">
            <v>-1481.2</v>
          </cell>
          <cell r="E58">
            <v>-2760</v>
          </cell>
          <cell r="F58">
            <v>499.40000000000003</v>
          </cell>
          <cell r="G58">
            <v>61.8</v>
          </cell>
        </row>
        <row r="59">
          <cell r="C59">
            <v>10874.699999999999</v>
          </cell>
          <cell r="D59">
            <v>-1504.1</v>
          </cell>
          <cell r="E59">
            <v>-2809.2</v>
          </cell>
          <cell r="F59">
            <v>562.19999999999993</v>
          </cell>
          <cell r="G59">
            <v>62.2</v>
          </cell>
        </row>
        <row r="60">
          <cell r="C60">
            <v>10972.2</v>
          </cell>
          <cell r="D60">
            <v>-1525.8</v>
          </cell>
          <cell r="E60">
            <v>-2860.6000000000004</v>
          </cell>
          <cell r="F60">
            <v>637.09999999999991</v>
          </cell>
          <cell r="G60">
            <v>62.9</v>
          </cell>
        </row>
        <row r="61">
          <cell r="C61">
            <v>11110</v>
          </cell>
          <cell r="D61">
            <v>-1550.6</v>
          </cell>
          <cell r="E61">
            <v>-2917.1000000000004</v>
          </cell>
          <cell r="F61">
            <v>724.4</v>
          </cell>
          <cell r="G61">
            <v>65</v>
          </cell>
        </row>
        <row r="62">
          <cell r="C62">
            <v>11151.500000000002</v>
          </cell>
          <cell r="D62">
            <v>-1567.9999999999998</v>
          </cell>
          <cell r="E62">
            <v>-2963.1000000000004</v>
          </cell>
          <cell r="F62">
            <v>826.19999999999993</v>
          </cell>
          <cell r="G62">
            <v>65.400000000000006</v>
          </cell>
        </row>
        <row r="63">
          <cell r="C63">
            <v>11231.6</v>
          </cell>
          <cell r="D63">
            <v>-1588.2</v>
          </cell>
          <cell r="E63">
            <v>-3011.8</v>
          </cell>
          <cell r="F63">
            <v>939.9</v>
          </cell>
          <cell r="G63">
            <v>65.8</v>
          </cell>
        </row>
        <row r="64">
          <cell r="C64">
            <v>11322</v>
          </cell>
          <cell r="D64">
            <v>-1608.3</v>
          </cell>
          <cell r="E64">
            <v>-3057.5</v>
          </cell>
          <cell r="F64">
            <v>1053.8</v>
          </cell>
          <cell r="G64">
            <v>66.400000000000006</v>
          </cell>
        </row>
        <row r="65">
          <cell r="C65">
            <v>11443.3</v>
          </cell>
          <cell r="D65">
            <v>-1630.1</v>
          </cell>
          <cell r="E65">
            <v>-3105.2000000000003</v>
          </cell>
          <cell r="F65">
            <v>1170.3</v>
          </cell>
          <cell r="G65">
            <v>67.2</v>
          </cell>
        </row>
        <row r="66">
          <cell r="C66">
            <v>11499.1</v>
          </cell>
          <cell r="D66">
            <v>-1643.2</v>
          </cell>
          <cell r="E66">
            <v>-3142.1000000000004</v>
          </cell>
          <cell r="F66">
            <v>1296.9999999999998</v>
          </cell>
          <cell r="G66">
            <v>68.5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7"/>
  <sheetViews>
    <sheetView tabSelected="1" zoomScale="110" zoomScaleNormal="110" workbookViewId="0">
      <pane xSplit="2" ySplit="8" topLeftCell="AJ68" activePane="bottomRight" state="frozen"/>
      <selection pane="topRight" activeCell="C1" sqref="C1"/>
      <selection pane="bottomLeft" activeCell="A9" sqref="A9"/>
      <selection pane="bottomRight" activeCell="AH48" sqref="AH48:AH99"/>
    </sheetView>
  </sheetViews>
  <sheetFormatPr baseColWidth="10" defaultRowHeight="16" x14ac:dyDescent="0.2"/>
  <cols>
    <col min="2" max="2" width="18.33203125" customWidth="1"/>
  </cols>
  <sheetData>
    <row r="1" spans="1:32" x14ac:dyDescent="0.2">
      <c r="A1" t="s">
        <v>0</v>
      </c>
      <c r="B1" t="s">
        <v>1</v>
      </c>
      <c r="C1" s="4">
        <v>2020</v>
      </c>
      <c r="D1" s="4">
        <v>2021</v>
      </c>
      <c r="E1" s="4">
        <v>2022</v>
      </c>
      <c r="F1" s="4">
        <v>2023</v>
      </c>
      <c r="G1" s="4">
        <v>2024</v>
      </c>
      <c r="H1" s="4">
        <v>2025</v>
      </c>
      <c r="I1" s="4">
        <v>2026</v>
      </c>
      <c r="J1" s="4">
        <v>2027</v>
      </c>
      <c r="K1" s="4">
        <v>2028</v>
      </c>
      <c r="L1" s="4">
        <v>2029</v>
      </c>
      <c r="M1" s="4">
        <v>2030</v>
      </c>
      <c r="N1" s="4">
        <v>2031</v>
      </c>
      <c r="O1" s="4">
        <v>2032</v>
      </c>
      <c r="P1" s="4">
        <v>2033</v>
      </c>
      <c r="Q1" s="4">
        <v>2034</v>
      </c>
      <c r="R1" s="4">
        <v>2035</v>
      </c>
      <c r="S1" s="4">
        <v>2036</v>
      </c>
      <c r="T1" s="4">
        <v>2037</v>
      </c>
      <c r="U1" s="4">
        <v>2038</v>
      </c>
      <c r="V1" s="4">
        <v>2039</v>
      </c>
      <c r="W1" s="4">
        <v>2040</v>
      </c>
      <c r="X1" s="4">
        <v>2041</v>
      </c>
      <c r="Y1" s="4">
        <v>2042</v>
      </c>
      <c r="Z1" s="4">
        <v>2043</v>
      </c>
      <c r="AA1" s="4">
        <v>2044</v>
      </c>
      <c r="AB1" s="4">
        <v>2045</v>
      </c>
      <c r="AC1" s="4">
        <v>2046</v>
      </c>
      <c r="AD1" s="4">
        <v>2047</v>
      </c>
      <c r="AE1" s="4">
        <v>2048</v>
      </c>
      <c r="AF1" s="4">
        <v>2049</v>
      </c>
    </row>
    <row r="2" spans="1:32" x14ac:dyDescent="0.2">
      <c r="A2" t="s">
        <v>2</v>
      </c>
      <c r="B2" t="s">
        <v>3</v>
      </c>
      <c r="C2">
        <v>52470264.432688102</v>
      </c>
      <c r="D2">
        <v>52470264.432688102</v>
      </c>
      <c r="E2">
        <v>52470264.432688102</v>
      </c>
      <c r="F2">
        <v>49216095.2251283</v>
      </c>
      <c r="G2">
        <v>49216095.2251283</v>
      </c>
      <c r="H2">
        <v>49216095.2251283</v>
      </c>
      <c r="I2">
        <v>45413099.433880404</v>
      </c>
      <c r="J2">
        <v>45413099.433880404</v>
      </c>
      <c r="K2">
        <v>45413099.433880404</v>
      </c>
      <c r="L2">
        <v>45413099.433880404</v>
      </c>
      <c r="M2">
        <v>45413099.433880404</v>
      </c>
      <c r="N2">
        <v>39445746.679528803</v>
      </c>
      <c r="O2">
        <v>39445746.679528803</v>
      </c>
      <c r="P2">
        <v>39445746.679528803</v>
      </c>
      <c r="Q2">
        <v>39445746.679528803</v>
      </c>
      <c r="R2">
        <v>33698314.189801</v>
      </c>
      <c r="S2">
        <v>33698314.189801</v>
      </c>
      <c r="T2">
        <v>33698314.189801</v>
      </c>
      <c r="U2">
        <v>33698314.189801</v>
      </c>
      <c r="V2">
        <v>27677270.368319701</v>
      </c>
      <c r="W2">
        <v>27677270.368319701</v>
      </c>
      <c r="X2">
        <v>27677270.368319701</v>
      </c>
      <c r="Y2">
        <v>27677270.368319701</v>
      </c>
      <c r="Z2">
        <v>27677270.368319701</v>
      </c>
      <c r="AA2">
        <v>27677270.368319701</v>
      </c>
      <c r="AB2">
        <v>18228961.086221099</v>
      </c>
      <c r="AC2">
        <v>18228961.086221099</v>
      </c>
      <c r="AD2">
        <v>18228961.086221099</v>
      </c>
      <c r="AE2">
        <v>18228961.086221099</v>
      </c>
      <c r="AF2">
        <v>18228961.086221099</v>
      </c>
    </row>
    <row r="3" spans="1:32" x14ac:dyDescent="0.2">
      <c r="A3" t="s">
        <v>2</v>
      </c>
      <c r="B3" t="s">
        <v>4</v>
      </c>
      <c r="C3">
        <v>1247.1400000000001</v>
      </c>
      <c r="D3">
        <v>1247.1400000000001</v>
      </c>
      <c r="E3">
        <v>1247.1400000000001</v>
      </c>
      <c r="F3">
        <v>1153.94</v>
      </c>
      <c r="G3">
        <v>1153.94</v>
      </c>
      <c r="H3">
        <v>1153.94</v>
      </c>
      <c r="I3">
        <v>1045.94</v>
      </c>
      <c r="J3">
        <v>1045.94</v>
      </c>
      <c r="K3">
        <v>1045.94</v>
      </c>
      <c r="L3">
        <v>1045.94</v>
      </c>
      <c r="M3">
        <v>1045.94</v>
      </c>
      <c r="N3">
        <v>876.93999999999903</v>
      </c>
      <c r="O3">
        <v>876.93999999999903</v>
      </c>
      <c r="P3">
        <v>876.93999999999903</v>
      </c>
      <c r="Q3">
        <v>876.93999999999903</v>
      </c>
      <c r="R3">
        <v>712.74</v>
      </c>
      <c r="S3">
        <v>712.74</v>
      </c>
      <c r="T3">
        <v>712.74</v>
      </c>
      <c r="U3">
        <v>712.74</v>
      </c>
      <c r="V3">
        <v>541.33999999999901</v>
      </c>
      <c r="W3">
        <v>541.33999999999901</v>
      </c>
      <c r="X3">
        <v>541.33999999999901</v>
      </c>
      <c r="Y3">
        <v>541.33999999999901</v>
      </c>
      <c r="Z3">
        <v>541.33999999999901</v>
      </c>
      <c r="AA3">
        <v>541.33999999999901</v>
      </c>
      <c r="AB3">
        <v>272.64</v>
      </c>
      <c r="AC3">
        <v>272.64</v>
      </c>
      <c r="AD3">
        <v>272.64</v>
      </c>
      <c r="AE3">
        <v>272.64</v>
      </c>
      <c r="AF3">
        <v>272.64</v>
      </c>
    </row>
    <row r="4" spans="1:32" x14ac:dyDescent="0.2">
      <c r="A4" t="s">
        <v>2</v>
      </c>
      <c r="B4" t="s">
        <v>5</v>
      </c>
      <c r="C4">
        <v>0</v>
      </c>
      <c r="D4">
        <v>0</v>
      </c>
      <c r="E4">
        <v>0</v>
      </c>
      <c r="F4">
        <v>93.2</v>
      </c>
      <c r="G4">
        <v>0</v>
      </c>
      <c r="H4">
        <v>0</v>
      </c>
      <c r="I4">
        <v>108</v>
      </c>
      <c r="J4">
        <v>0</v>
      </c>
      <c r="K4">
        <v>0</v>
      </c>
      <c r="L4">
        <v>0</v>
      </c>
      <c r="M4">
        <v>0</v>
      </c>
      <c r="N4">
        <v>169</v>
      </c>
      <c r="O4">
        <v>0</v>
      </c>
      <c r="P4">
        <v>0</v>
      </c>
      <c r="Q4">
        <v>0</v>
      </c>
      <c r="R4">
        <v>164.2</v>
      </c>
      <c r="S4">
        <v>0</v>
      </c>
      <c r="T4">
        <v>0</v>
      </c>
      <c r="U4">
        <v>0</v>
      </c>
      <c r="V4">
        <v>171.39999999999901</v>
      </c>
      <c r="W4">
        <v>0</v>
      </c>
      <c r="X4">
        <v>0</v>
      </c>
      <c r="Y4">
        <v>0</v>
      </c>
      <c r="Z4">
        <v>0</v>
      </c>
      <c r="AA4">
        <v>0</v>
      </c>
      <c r="AB4">
        <v>268.7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2</v>
      </c>
      <c r="B5" t="s">
        <v>6</v>
      </c>
      <c r="C5">
        <v>15928523.037643701</v>
      </c>
      <c r="D5">
        <v>15928523.037643701</v>
      </c>
      <c r="E5">
        <v>15928523.037643701</v>
      </c>
      <c r="F5">
        <v>14933988.2453623</v>
      </c>
      <c r="G5">
        <v>14933988.2453623</v>
      </c>
      <c r="H5">
        <v>14933988.2453623</v>
      </c>
      <c r="I5">
        <v>13781523.0354224</v>
      </c>
      <c r="J5">
        <v>13781523.0354224</v>
      </c>
      <c r="K5">
        <v>13781523.0354224</v>
      </c>
      <c r="L5">
        <v>13781523.0354224</v>
      </c>
      <c r="M5">
        <v>13781523.0354224</v>
      </c>
      <c r="N5">
        <v>11978128.4013499</v>
      </c>
      <c r="O5">
        <v>11978128.4013499</v>
      </c>
      <c r="P5">
        <v>11978128.4013499</v>
      </c>
      <c r="Q5">
        <v>11978128.4013499</v>
      </c>
      <c r="R5">
        <v>10225954.4432748</v>
      </c>
      <c r="S5">
        <v>10225954.4432748</v>
      </c>
      <c r="T5">
        <v>10225954.4432748</v>
      </c>
      <c r="U5">
        <v>10225954.4432748</v>
      </c>
      <c r="V5">
        <v>8396949.4712036308</v>
      </c>
      <c r="W5">
        <v>8396949.4712036308</v>
      </c>
      <c r="X5">
        <v>8396949.4712036308</v>
      </c>
      <c r="Y5">
        <v>8396949.4712036308</v>
      </c>
      <c r="Z5">
        <v>8396949.4712036308</v>
      </c>
      <c r="AA5">
        <v>8396949.4712036308</v>
      </c>
      <c r="AB5">
        <v>5529658.7127700103</v>
      </c>
      <c r="AC5">
        <v>5529658.7127700103</v>
      </c>
      <c r="AD5">
        <v>5529658.7127700103</v>
      </c>
      <c r="AE5">
        <v>5529658.7127700103</v>
      </c>
      <c r="AF5">
        <v>5529658.7127700103</v>
      </c>
    </row>
    <row r="6" spans="1:32" x14ac:dyDescent="0.2">
      <c r="A6" t="s">
        <v>2</v>
      </c>
      <c r="B6" t="s">
        <v>7</v>
      </c>
      <c r="C6">
        <v>386858887.17838198</v>
      </c>
      <c r="D6">
        <v>362904978.894907</v>
      </c>
      <c r="E6">
        <v>359737147.71241802</v>
      </c>
      <c r="F6">
        <v>372073899.94376898</v>
      </c>
      <c r="G6">
        <v>333487836.37552899</v>
      </c>
      <c r="H6">
        <v>306595358.56961501</v>
      </c>
      <c r="I6">
        <v>239032750.34071901</v>
      </c>
      <c r="J6">
        <v>181320807.60541999</v>
      </c>
      <c r="K6">
        <v>137359109.45285201</v>
      </c>
      <c r="L6">
        <v>106825815.04445501</v>
      </c>
      <c r="M6">
        <v>43519157.0026455</v>
      </c>
      <c r="N6">
        <v>38762165.944107398</v>
      </c>
      <c r="O6">
        <v>38709560.517557897</v>
      </c>
      <c r="P6">
        <v>37363201.663014397</v>
      </c>
      <c r="Q6">
        <v>37722300.804451004</v>
      </c>
      <c r="R6">
        <v>35098644.961887099</v>
      </c>
      <c r="S6">
        <v>32709863.249951798</v>
      </c>
      <c r="T6">
        <v>34039197.615813203</v>
      </c>
      <c r="U6">
        <v>32864052.619298398</v>
      </c>
      <c r="V6">
        <v>37250646.325652301</v>
      </c>
      <c r="W6">
        <v>35394023.2673117</v>
      </c>
      <c r="X6">
        <v>21417669.894492</v>
      </c>
      <c r="Y6">
        <v>15821515.035121599</v>
      </c>
      <c r="Z6">
        <v>11493129.815778</v>
      </c>
      <c r="AA6">
        <v>7903730.8285033097</v>
      </c>
      <c r="AB6">
        <v>21120892.622601599</v>
      </c>
      <c r="AC6">
        <v>21059774.8731304</v>
      </c>
      <c r="AD6">
        <v>26173880.6618625</v>
      </c>
      <c r="AE6">
        <v>20875436.393905502</v>
      </c>
      <c r="AF6">
        <v>22818504.841692898</v>
      </c>
    </row>
    <row r="7" spans="1:32" x14ac:dyDescent="0.2">
      <c r="A7" t="s">
        <v>2</v>
      </c>
      <c r="B7" t="s">
        <v>8</v>
      </c>
      <c r="C7">
        <v>2985965.0027412199</v>
      </c>
      <c r="D7">
        <v>2930910.4885613699</v>
      </c>
      <c r="E7">
        <v>2784679.7553214501</v>
      </c>
      <c r="F7">
        <v>3066065.6608210499</v>
      </c>
      <c r="G7">
        <v>2688387.5348644899</v>
      </c>
      <c r="H7">
        <v>2415836.5535766701</v>
      </c>
      <c r="I7">
        <v>1805758.63540849</v>
      </c>
      <c r="J7">
        <v>1319922.9982465601</v>
      </c>
      <c r="K7">
        <v>976947.30652038695</v>
      </c>
      <c r="L7">
        <v>730715.96033568599</v>
      </c>
      <c r="M7">
        <v>290600.07087956602</v>
      </c>
      <c r="N7">
        <v>260503.94126374699</v>
      </c>
      <c r="O7">
        <v>247431.89401743401</v>
      </c>
      <c r="P7">
        <v>233820.14360995899</v>
      </c>
      <c r="Q7">
        <v>228536.645632139</v>
      </c>
      <c r="R7">
        <v>207604.50890128201</v>
      </c>
      <c r="S7">
        <v>193267.14514715501</v>
      </c>
      <c r="T7">
        <v>190833.17086420799</v>
      </c>
      <c r="U7">
        <v>179384.979780964</v>
      </c>
      <c r="V7">
        <v>187808.15148489401</v>
      </c>
      <c r="W7">
        <v>183591.99468321199</v>
      </c>
      <c r="X7">
        <v>115374.25576404099</v>
      </c>
      <c r="Y7">
        <v>81860.195503702402</v>
      </c>
      <c r="Z7">
        <v>60235.752811540602</v>
      </c>
      <c r="AA7">
        <v>45075.125161289201</v>
      </c>
      <c r="AB7" s="1">
        <v>2.8467645480721301E-12</v>
      </c>
      <c r="AC7" s="1">
        <v>1.0864972989769199E-10</v>
      </c>
      <c r="AD7" s="1">
        <v>-1.38215696567874E-10</v>
      </c>
      <c r="AE7" s="1">
        <v>2.0119990039005998E-12</v>
      </c>
      <c r="AF7" s="1">
        <v>-1.6927548893393501E-10</v>
      </c>
    </row>
    <row r="8" spans="1:32" x14ac:dyDescent="0.2">
      <c r="A8" t="s">
        <v>2</v>
      </c>
      <c r="B8" t="s">
        <v>9</v>
      </c>
      <c r="C8" s="1">
        <v>1160.6497936692599</v>
      </c>
      <c r="D8">
        <v>0</v>
      </c>
      <c r="E8">
        <v>0</v>
      </c>
      <c r="F8">
        <v>373.74326748515603</v>
      </c>
      <c r="G8">
        <v>0</v>
      </c>
      <c r="H8">
        <v>0</v>
      </c>
      <c r="I8">
        <v>0</v>
      </c>
      <c r="J8">
        <v>632.36730068163399</v>
      </c>
      <c r="K8">
        <v>1255.27274649022</v>
      </c>
      <c r="L8">
        <v>1470.3433289851901</v>
      </c>
      <c r="M8">
        <v>0</v>
      </c>
      <c r="N8">
        <v>0</v>
      </c>
      <c r="O8">
        <v>77.271814796508906</v>
      </c>
      <c r="P8">
        <v>0</v>
      </c>
      <c r="Q8">
        <v>0</v>
      </c>
      <c r="R8">
        <v>524.559745117788</v>
      </c>
      <c r="S8">
        <v>384.27634315518901</v>
      </c>
      <c r="T8">
        <v>728.03752633129</v>
      </c>
      <c r="U8">
        <v>982.75962590025097</v>
      </c>
      <c r="V8">
        <v>1182.5287133684501</v>
      </c>
      <c r="W8">
        <v>1957.37558972592</v>
      </c>
      <c r="X8">
        <v>903.18688541961296</v>
      </c>
      <c r="Y8">
        <v>309.08725918603602</v>
      </c>
      <c r="Z8">
        <v>323.28004149559899</v>
      </c>
      <c r="AA8">
        <v>0</v>
      </c>
      <c r="AB8">
        <v>58718.810178817097</v>
      </c>
      <c r="AC8">
        <v>58107.457771664202</v>
      </c>
      <c r="AD8">
        <v>75568.796698762206</v>
      </c>
      <c r="AE8">
        <v>56830.449793672597</v>
      </c>
      <c r="AF8">
        <v>65006.7108665751</v>
      </c>
    </row>
    <row r="9" spans="1:32" x14ac:dyDescent="0.2">
      <c r="A9" t="s">
        <v>2</v>
      </c>
      <c r="B9" t="s">
        <v>10</v>
      </c>
      <c r="C9">
        <v>2987125.6525348802</v>
      </c>
      <c r="D9">
        <v>2930910.4885613699</v>
      </c>
      <c r="E9">
        <v>2784679.7553214501</v>
      </c>
      <c r="F9">
        <v>3066439.40408854</v>
      </c>
      <c r="G9">
        <v>2688387.5348644899</v>
      </c>
      <c r="H9">
        <v>2415836.5535766701</v>
      </c>
      <c r="I9">
        <v>1805758.63540849</v>
      </c>
      <c r="J9">
        <v>1320555.36554724</v>
      </c>
      <c r="K9">
        <v>978202.57926687796</v>
      </c>
      <c r="L9">
        <v>732186.30366467102</v>
      </c>
      <c r="M9">
        <v>290600.07087956602</v>
      </c>
      <c r="N9">
        <v>260503.94126374699</v>
      </c>
      <c r="O9">
        <v>247509.16583223001</v>
      </c>
      <c r="P9">
        <v>233820.14360995899</v>
      </c>
      <c r="Q9">
        <v>228536.645632139</v>
      </c>
      <c r="R9">
        <v>208129.0686464</v>
      </c>
      <c r="S9">
        <v>193651.42149030999</v>
      </c>
      <c r="T9">
        <v>191561.20839054001</v>
      </c>
      <c r="U9">
        <v>180367.73940686401</v>
      </c>
      <c r="V9">
        <v>188990.68019826201</v>
      </c>
      <c r="W9">
        <v>185549.37027293799</v>
      </c>
      <c r="X9">
        <v>116277.44264946099</v>
      </c>
      <c r="Y9">
        <v>82169.282762888397</v>
      </c>
      <c r="Z9">
        <v>60559.032853036202</v>
      </c>
      <c r="AA9">
        <v>45075.125161289201</v>
      </c>
      <c r="AB9">
        <v>58718.810178817097</v>
      </c>
      <c r="AC9">
        <v>58107.457771664398</v>
      </c>
      <c r="AD9">
        <v>75568.796698762002</v>
      </c>
      <c r="AE9">
        <v>56830.449793672597</v>
      </c>
      <c r="AF9">
        <v>65006.710866574896</v>
      </c>
    </row>
    <row r="10" spans="1:32" x14ac:dyDescent="0.2">
      <c r="A10" t="s">
        <v>2</v>
      </c>
      <c r="B10" t="s">
        <v>11</v>
      </c>
      <c r="C10">
        <v>31288296.358680502</v>
      </c>
      <c r="D10">
        <v>30685563.123474099</v>
      </c>
      <c r="E10">
        <v>29154580.7161512</v>
      </c>
      <c r="F10">
        <v>32115482.014434401</v>
      </c>
      <c r="G10">
        <v>28146436.3116519</v>
      </c>
      <c r="H10">
        <v>25292927.0102548</v>
      </c>
      <c r="I10">
        <v>18905633.866622798</v>
      </c>
      <c r="J10">
        <v>13837315.9323314</v>
      </c>
      <c r="K10">
        <v>10278304.012174301</v>
      </c>
      <c r="L10">
        <v>7702523.9080910496</v>
      </c>
      <c r="M10">
        <v>3029086.3518169299</v>
      </c>
      <c r="N10">
        <v>2727381.18914242</v>
      </c>
      <c r="O10">
        <v>2590620.0713477</v>
      </c>
      <c r="P10">
        <v>2434621.2362231198</v>
      </c>
      <c r="Q10">
        <v>2376324.12644376</v>
      </c>
      <c r="R10">
        <v>2175284.3041583099</v>
      </c>
      <c r="S10">
        <v>2011052.4985831501</v>
      </c>
      <c r="T10">
        <v>2003454.1233234301</v>
      </c>
      <c r="U10">
        <v>1899430.7133609499</v>
      </c>
      <c r="V10">
        <v>1956042.0750716</v>
      </c>
      <c r="W10">
        <v>1912976.59319858</v>
      </c>
      <c r="X10">
        <v>1199305.53892615</v>
      </c>
      <c r="Y10">
        <v>812987.28116307198</v>
      </c>
      <c r="Z10">
        <v>614707.87537757005</v>
      </c>
      <c r="AA10">
        <v>471920.10941083101</v>
      </c>
      <c r="AB10">
        <v>587358.44816849404</v>
      </c>
      <c r="AC10">
        <v>576278.971650586</v>
      </c>
      <c r="AD10">
        <v>1004207.8592783801</v>
      </c>
      <c r="AE10">
        <v>580014.32779838401</v>
      </c>
      <c r="AF10">
        <v>875567.06608220795</v>
      </c>
    </row>
    <row r="11" spans="1:32" x14ac:dyDescent="0.2">
      <c r="A11" t="s">
        <v>12</v>
      </c>
      <c r="B11" t="s">
        <v>3</v>
      </c>
      <c r="C11">
        <v>127764908.59437101</v>
      </c>
      <c r="D11">
        <v>136848047.18513</v>
      </c>
      <c r="E11">
        <v>176873750.94363499</v>
      </c>
      <c r="F11">
        <v>202083665.95227101</v>
      </c>
      <c r="G11">
        <v>254833983.013181</v>
      </c>
      <c r="H11">
        <v>273513340.77618599</v>
      </c>
      <c r="I11">
        <v>314607001.89025098</v>
      </c>
      <c r="J11">
        <v>353854835.34565502</v>
      </c>
      <c r="K11">
        <v>391404423.51607698</v>
      </c>
      <c r="L11">
        <v>427192337.63082802</v>
      </c>
      <c r="M11">
        <v>461111245.14254701</v>
      </c>
      <c r="N11">
        <v>466838627.29711998</v>
      </c>
      <c r="O11">
        <v>472497165.72663802</v>
      </c>
      <c r="P11">
        <v>478089986.53366798</v>
      </c>
      <c r="Q11">
        <v>483618670.31490898</v>
      </c>
      <c r="R11">
        <v>489083217.07036102</v>
      </c>
      <c r="S11">
        <v>491921465.738886</v>
      </c>
      <c r="T11">
        <v>486556295.19045699</v>
      </c>
      <c r="U11">
        <v>474900911.75410002</v>
      </c>
      <c r="V11">
        <v>468634027.548567</v>
      </c>
      <c r="W11">
        <v>472345542.88281202</v>
      </c>
      <c r="X11">
        <v>491195807.343611</v>
      </c>
      <c r="Y11">
        <v>501258968.48193699</v>
      </c>
      <c r="Z11">
        <v>530740006.03581101</v>
      </c>
      <c r="AA11">
        <v>592707749.69629896</v>
      </c>
      <c r="AB11">
        <v>654305610.64554596</v>
      </c>
      <c r="AC11">
        <v>683644645.20716202</v>
      </c>
      <c r="AD11">
        <v>704874705.89143705</v>
      </c>
      <c r="AE11">
        <v>733696645.27214396</v>
      </c>
      <c r="AF11">
        <v>762137898.19224894</v>
      </c>
    </row>
    <row r="12" spans="1:32" x14ac:dyDescent="0.2">
      <c r="A12" t="s">
        <v>12</v>
      </c>
      <c r="B12" t="s">
        <v>13</v>
      </c>
      <c r="C12">
        <v>134.6</v>
      </c>
      <c r="D12">
        <v>57.5</v>
      </c>
      <c r="E12">
        <v>254</v>
      </c>
      <c r="F12">
        <v>404</v>
      </c>
      <c r="G12">
        <v>349</v>
      </c>
      <c r="H12">
        <v>149.99999999999901</v>
      </c>
      <c r="I12">
        <v>269.009172389583</v>
      </c>
      <c r="J12">
        <v>269.009172389583</v>
      </c>
      <c r="K12">
        <v>269.009172389583</v>
      </c>
      <c r="L12">
        <v>269.009172389583</v>
      </c>
      <c r="M12">
        <v>269.009172389583</v>
      </c>
      <c r="N12">
        <v>23.1236362254574</v>
      </c>
      <c r="O12">
        <v>23.1236362254573</v>
      </c>
      <c r="P12">
        <v>23.123636225457101</v>
      </c>
      <c r="Q12">
        <v>23.1236362254574</v>
      </c>
      <c r="R12">
        <v>23.1236362254574</v>
      </c>
      <c r="S12">
        <v>50.447513838104399</v>
      </c>
      <c r="T12">
        <v>164.94751383810399</v>
      </c>
      <c r="U12">
        <v>324.94751383810399</v>
      </c>
      <c r="V12">
        <v>209.94751383810399</v>
      </c>
      <c r="W12">
        <v>37.947513838104101</v>
      </c>
      <c r="X12">
        <v>330.26313730023901</v>
      </c>
      <c r="Y12">
        <v>376.26313730023901</v>
      </c>
      <c r="Z12">
        <v>300.26313730023901</v>
      </c>
      <c r="AA12">
        <v>444.71508771701502</v>
      </c>
      <c r="AB12">
        <v>439.715087717014</v>
      </c>
      <c r="AC12">
        <v>151.64480810593099</v>
      </c>
      <c r="AD12">
        <v>170.925469563306</v>
      </c>
      <c r="AE12">
        <v>138.32546956330501</v>
      </c>
      <c r="AF12">
        <v>138.325469563306</v>
      </c>
    </row>
    <row r="13" spans="1:32" x14ac:dyDescent="0.2">
      <c r="A13" t="s">
        <v>12</v>
      </c>
      <c r="B13" t="s">
        <v>4</v>
      </c>
      <c r="C13">
        <v>777.9</v>
      </c>
      <c r="D13">
        <v>835.4</v>
      </c>
      <c r="E13">
        <v>1089.4000000000001</v>
      </c>
      <c r="F13">
        <v>1313.4</v>
      </c>
      <c r="G13">
        <v>1662.4</v>
      </c>
      <c r="H13">
        <v>1812.4</v>
      </c>
      <c r="I13">
        <v>2081.4091723895799</v>
      </c>
      <c r="J13">
        <v>2350.4183447791602</v>
      </c>
      <c r="K13">
        <v>2619.42751716874</v>
      </c>
      <c r="L13">
        <v>2888.4366895583298</v>
      </c>
      <c r="M13">
        <v>3157.4458619479101</v>
      </c>
      <c r="N13">
        <v>3180.56949817337</v>
      </c>
      <c r="O13">
        <v>3203.6931343988299</v>
      </c>
      <c r="P13">
        <v>3226.8167706242798</v>
      </c>
      <c r="Q13">
        <v>3249.9404068497402</v>
      </c>
      <c r="R13">
        <v>3273.0640430752001</v>
      </c>
      <c r="S13">
        <v>3311.0115569133</v>
      </c>
      <c r="T13">
        <v>3348.9590707514099</v>
      </c>
      <c r="U13">
        <v>3386.9065845895102</v>
      </c>
      <c r="V13">
        <v>3424.8540984276201</v>
      </c>
      <c r="W13">
        <v>3462.80161226572</v>
      </c>
      <c r="X13">
        <v>3763.06474956596</v>
      </c>
      <c r="Y13">
        <v>4063.3278868662001</v>
      </c>
      <c r="Z13">
        <v>4363.5910241664396</v>
      </c>
      <c r="AA13">
        <v>4803.3061118834503</v>
      </c>
      <c r="AB13">
        <v>5210.8211996004702</v>
      </c>
      <c r="AC13">
        <v>5355.9660077064</v>
      </c>
      <c r="AD13">
        <v>5494.2914772697104</v>
      </c>
      <c r="AE13">
        <v>5632.6169468330099</v>
      </c>
      <c r="AF13">
        <v>5770.9424163963204</v>
      </c>
    </row>
    <row r="14" spans="1:32" x14ac:dyDescent="0.2">
      <c r="A14" t="s">
        <v>12</v>
      </c>
      <c r="B14" t="s">
        <v>5</v>
      </c>
      <c r="C14">
        <v>0</v>
      </c>
      <c r="D14">
        <v>0</v>
      </c>
      <c r="E14">
        <v>0</v>
      </c>
      <c r="F14">
        <v>180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12.5</v>
      </c>
      <c r="T14">
        <v>127</v>
      </c>
      <c r="U14">
        <v>287</v>
      </c>
      <c r="V14">
        <v>172</v>
      </c>
      <c r="W14">
        <v>0</v>
      </c>
      <c r="X14">
        <v>30</v>
      </c>
      <c r="Y14">
        <v>76</v>
      </c>
      <c r="Z14">
        <v>0</v>
      </c>
      <c r="AA14">
        <v>5</v>
      </c>
      <c r="AB14">
        <v>32.200000000000003</v>
      </c>
      <c r="AC14">
        <v>6.5</v>
      </c>
      <c r="AD14">
        <v>32.6</v>
      </c>
      <c r="AE14">
        <v>0</v>
      </c>
      <c r="AF14">
        <v>0</v>
      </c>
    </row>
    <row r="15" spans="1:32" x14ac:dyDescent="0.2">
      <c r="A15" t="s">
        <v>12</v>
      </c>
      <c r="B15" t="s">
        <v>14</v>
      </c>
      <c r="C15">
        <v>231939528.55815101</v>
      </c>
      <c r="D15">
        <v>115550093.600821</v>
      </c>
      <c r="E15">
        <v>461011794.17611903</v>
      </c>
      <c r="F15">
        <v>613055145.71820104</v>
      </c>
      <c r="G15">
        <v>605667766.08737302</v>
      </c>
      <c r="H15">
        <v>257118205.626028</v>
      </c>
      <c r="I15">
        <v>533504349.03022403</v>
      </c>
      <c r="J15">
        <v>509339333.54371297</v>
      </c>
      <c r="K15">
        <v>487205764.51184398</v>
      </c>
      <c r="L15">
        <v>464199109.16128701</v>
      </c>
      <c r="M15">
        <v>439715039.41925299</v>
      </c>
      <c r="N15">
        <v>64438919.006844997</v>
      </c>
      <c r="O15">
        <v>63673543.9618323</v>
      </c>
      <c r="P15">
        <v>62951199.190833502</v>
      </c>
      <c r="Q15">
        <v>62250611.066503599</v>
      </c>
      <c r="R15">
        <v>61550022.942173101</v>
      </c>
      <c r="S15">
        <v>61739896.020125501</v>
      </c>
      <c r="T15">
        <v>174781631.80322701</v>
      </c>
      <c r="U15">
        <v>293989902.45407403</v>
      </c>
      <c r="V15">
        <v>238863863.51965001</v>
      </c>
      <c r="W15">
        <v>47049949.098107398</v>
      </c>
      <c r="X15">
        <v>501894077.75912797</v>
      </c>
      <c r="Y15">
        <v>567814793.91520202</v>
      </c>
      <c r="Z15">
        <v>442345566.12608802</v>
      </c>
      <c r="AA15">
        <v>910554536.71357</v>
      </c>
      <c r="AB15">
        <v>893160832.09837103</v>
      </c>
      <c r="AC15">
        <v>475844721.46937001</v>
      </c>
      <c r="AD15">
        <v>485989213.62820399</v>
      </c>
      <c r="AE15">
        <v>444393148.62443298</v>
      </c>
      <c r="AF15">
        <v>438534050.531147</v>
      </c>
    </row>
    <row r="16" spans="1:32" x14ac:dyDescent="0.2">
      <c r="A16" t="s">
        <v>12</v>
      </c>
      <c r="B16" t="s">
        <v>6</v>
      </c>
      <c r="C16">
        <v>39438832.373224899</v>
      </c>
      <c r="D16">
        <v>41267828.040730499</v>
      </c>
      <c r="E16">
        <v>47411961.183738701</v>
      </c>
      <c r="F16">
        <v>43283309.5467024</v>
      </c>
      <c r="G16">
        <v>50651363.733428098</v>
      </c>
      <c r="H16">
        <v>52652603.528922401</v>
      </c>
      <c r="I16">
        <v>57243619.745674498</v>
      </c>
      <c r="J16">
        <v>61675572.147819497</v>
      </c>
      <c r="K16">
        <v>65948460.735357597</v>
      </c>
      <c r="L16">
        <v>70062285.508288503</v>
      </c>
      <c r="M16">
        <v>74017046.466612607</v>
      </c>
      <c r="N16">
        <v>74250604.651622698</v>
      </c>
      <c r="O16">
        <v>74482069.530932501</v>
      </c>
      <c r="P16">
        <v>74711441.104541793</v>
      </c>
      <c r="Q16">
        <v>74938719.372450799</v>
      </c>
      <c r="R16">
        <v>75163904.334659293</v>
      </c>
      <c r="S16">
        <v>75397176.250859797</v>
      </c>
      <c r="T16">
        <v>74077395.5548217</v>
      </c>
      <c r="U16">
        <v>71149311.204026893</v>
      </c>
      <c r="V16">
        <v>69916429.133106098</v>
      </c>
      <c r="W16">
        <v>70329268.864104196</v>
      </c>
      <c r="X16">
        <v>73099717.039451703</v>
      </c>
      <c r="Y16">
        <v>75112615.655113593</v>
      </c>
      <c r="Z16">
        <v>78267747.862461299</v>
      </c>
      <c r="AA16">
        <v>90109896.861728206</v>
      </c>
      <c r="AB16">
        <v>101313251.787376</v>
      </c>
      <c r="AC16">
        <v>109906511.10269301</v>
      </c>
      <c r="AD16">
        <v>117878646.69386899</v>
      </c>
      <c r="AE16">
        <v>126246669.432218</v>
      </c>
      <c r="AF16">
        <v>134477575.61251399</v>
      </c>
    </row>
    <row r="17" spans="1:32" x14ac:dyDescent="0.2">
      <c r="A17" t="s">
        <v>12</v>
      </c>
      <c r="B17" t="s">
        <v>7</v>
      </c>
      <c r="C17">
        <v>235947702.909527</v>
      </c>
      <c r="D17">
        <v>190711988.69729799</v>
      </c>
      <c r="E17">
        <v>178932485.71030501</v>
      </c>
      <c r="F17">
        <v>207002564.956065</v>
      </c>
      <c r="G17">
        <v>211915855.60530901</v>
      </c>
      <c r="H17">
        <v>217035407.681793</v>
      </c>
      <c r="I17">
        <v>216864551.30324501</v>
      </c>
      <c r="J17">
        <v>211780485.082396</v>
      </c>
      <c r="K17">
        <v>201526265.33822799</v>
      </c>
      <c r="L17">
        <v>196011647.75537199</v>
      </c>
      <c r="M17">
        <v>177565730.55597901</v>
      </c>
      <c r="N17">
        <v>179039337.573769</v>
      </c>
      <c r="O17">
        <v>175900575.41283199</v>
      </c>
      <c r="P17">
        <v>179764737.00989899</v>
      </c>
      <c r="Q17">
        <v>176680546.093916</v>
      </c>
      <c r="R17">
        <v>178310219.62655699</v>
      </c>
      <c r="S17">
        <v>181444883.462926</v>
      </c>
      <c r="T17">
        <v>180731861.305677</v>
      </c>
      <c r="U17">
        <v>184558581.52864301</v>
      </c>
      <c r="V17">
        <v>185519907.23982501</v>
      </c>
      <c r="W17">
        <v>192353763.87771499</v>
      </c>
      <c r="X17">
        <v>178789213.612526</v>
      </c>
      <c r="Y17">
        <v>162889367.433424</v>
      </c>
      <c r="Z17">
        <v>152416319.244111</v>
      </c>
      <c r="AA17">
        <v>137523704.63726899</v>
      </c>
      <c r="AB17">
        <v>48124265.553574301</v>
      </c>
      <c r="AC17">
        <v>45628632.873888701</v>
      </c>
      <c r="AD17">
        <v>31754135.733675402</v>
      </c>
      <c r="AE17">
        <v>29197407.9321183</v>
      </c>
      <c r="AF17">
        <v>21991316.1342411</v>
      </c>
    </row>
    <row r="18" spans="1:32" x14ac:dyDescent="0.2">
      <c r="A18" t="s">
        <v>12</v>
      </c>
      <c r="B18" t="s">
        <v>8</v>
      </c>
      <c r="C18">
        <v>2577086.3349403902</v>
      </c>
      <c r="D18">
        <v>2648588.2491704999</v>
      </c>
      <c r="E18">
        <v>2585790.6140050301</v>
      </c>
      <c r="F18">
        <v>2068304</v>
      </c>
      <c r="G18">
        <v>2068304</v>
      </c>
      <c r="H18">
        <v>2068304</v>
      </c>
      <c r="I18">
        <v>2016612.2132965601</v>
      </c>
      <c r="J18">
        <v>1937963.5794049001</v>
      </c>
      <c r="K18">
        <v>1795070.42560578</v>
      </c>
      <c r="L18">
        <v>1709225.7504942301</v>
      </c>
      <c r="M18">
        <v>1537555.72453035</v>
      </c>
      <c r="N18">
        <v>1522084.4919644799</v>
      </c>
      <c r="O18">
        <v>1474790.6296835099</v>
      </c>
      <c r="P18">
        <v>1472309.7242711</v>
      </c>
      <c r="Q18">
        <v>1435922.1679845799</v>
      </c>
      <c r="R18">
        <v>1425775.0903294999</v>
      </c>
      <c r="S18">
        <v>1414124.0611959901</v>
      </c>
      <c r="T18">
        <v>1398508.85311868</v>
      </c>
      <c r="U18">
        <v>1396968.63652697</v>
      </c>
      <c r="V18">
        <v>1390172.64416264</v>
      </c>
      <c r="W18">
        <v>1414830.08784225</v>
      </c>
      <c r="X18">
        <v>1303036.0181046401</v>
      </c>
      <c r="Y18">
        <v>1170199.5839545</v>
      </c>
      <c r="Z18">
        <v>1087564.5315241001</v>
      </c>
      <c r="AA18">
        <v>974911.32299067103</v>
      </c>
      <c r="AB18" s="1">
        <v>2.88047623350983E-10</v>
      </c>
      <c r="AC18" s="1">
        <v>8.5350931547484606E-11</v>
      </c>
      <c r="AD18" s="1">
        <v>-1.8978430320480902E-12</v>
      </c>
      <c r="AE18" s="1">
        <v>-2.08341783379083E-10</v>
      </c>
      <c r="AF18" s="1">
        <v>1.1272902220436E-12</v>
      </c>
    </row>
    <row r="19" spans="1:32" x14ac:dyDescent="0.2">
      <c r="A19" t="s">
        <v>12</v>
      </c>
      <c r="B19" t="s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35692150.300109103</v>
      </c>
      <c r="N19">
        <v>35692150.300109103</v>
      </c>
      <c r="O19">
        <v>35692150.300109103</v>
      </c>
      <c r="P19">
        <v>35692150.300109103</v>
      </c>
      <c r="Q19">
        <v>35692150.300109103</v>
      </c>
      <c r="R19">
        <v>35692150.300109103</v>
      </c>
      <c r="S19">
        <v>35692150.300109103</v>
      </c>
      <c r="T19">
        <v>35692150.300109103</v>
      </c>
      <c r="U19">
        <v>35692150.300109103</v>
      </c>
      <c r="V19">
        <v>35692150.300109103</v>
      </c>
      <c r="W19">
        <v>35692150.300109103</v>
      </c>
      <c r="X19">
        <v>35692150.300109103</v>
      </c>
      <c r="Y19">
        <v>35692150.300109103</v>
      </c>
      <c r="Z19">
        <v>35692150.300109103</v>
      </c>
      <c r="AA19">
        <v>35692150.300109103</v>
      </c>
      <c r="AB19">
        <v>35692150.300109103</v>
      </c>
      <c r="AC19">
        <v>35692150.300109103</v>
      </c>
      <c r="AD19">
        <v>35692150.300109103</v>
      </c>
      <c r="AE19">
        <v>35692150.300109103</v>
      </c>
      <c r="AF19">
        <v>35692150.300109103</v>
      </c>
    </row>
    <row r="20" spans="1:32" x14ac:dyDescent="0.2">
      <c r="A20" t="s">
        <v>12</v>
      </c>
      <c r="B20" t="s">
        <v>9</v>
      </c>
      <c r="C20">
        <v>1216850.5538963701</v>
      </c>
      <c r="D20">
        <v>1172893.9296788001</v>
      </c>
      <c r="E20">
        <v>1434924.20758082</v>
      </c>
      <c r="F20">
        <v>1723086.7044395499</v>
      </c>
      <c r="G20">
        <v>2146919.6108671199</v>
      </c>
      <c r="H20">
        <v>2509836.5722665102</v>
      </c>
      <c r="I20">
        <v>3169657.5290806899</v>
      </c>
      <c r="J20">
        <v>3784573.6642393102</v>
      </c>
      <c r="K20">
        <v>4356174.4264086802</v>
      </c>
      <c r="L20">
        <v>4867992.5846795999</v>
      </c>
      <c r="M20">
        <v>5555322.97100206</v>
      </c>
      <c r="N20">
        <v>5616691.5439794501</v>
      </c>
      <c r="O20">
        <v>5659879.1913244296</v>
      </c>
      <c r="P20">
        <v>5721939.2874656403</v>
      </c>
      <c r="Q20">
        <v>5772172.8731383104</v>
      </c>
      <c r="R20">
        <v>5813322.43038157</v>
      </c>
      <c r="S20">
        <v>5897904.2285640799</v>
      </c>
      <c r="T20">
        <v>5904849.13690867</v>
      </c>
      <c r="U20">
        <v>5987015.0674131298</v>
      </c>
      <c r="V20">
        <v>6068287.4744058698</v>
      </c>
      <c r="W20">
        <v>6121123.8206450501</v>
      </c>
      <c r="X20">
        <v>6460450.8669586303</v>
      </c>
      <c r="Y20">
        <v>6805193.3439770397</v>
      </c>
      <c r="Z20">
        <v>7085802.8215468396</v>
      </c>
      <c r="AA20">
        <v>7364650.20115647</v>
      </c>
      <c r="AB20">
        <v>8408265.2466089595</v>
      </c>
      <c r="AC20">
        <v>8609654.1064943094</v>
      </c>
      <c r="AD20">
        <v>8659164.2905614804</v>
      </c>
      <c r="AE20">
        <v>8815137.3016271796</v>
      </c>
      <c r="AF20">
        <v>8808014.0912645292</v>
      </c>
    </row>
    <row r="21" spans="1:32" x14ac:dyDescent="0.2">
      <c r="A21" t="s">
        <v>12</v>
      </c>
      <c r="B21" t="s">
        <v>16</v>
      </c>
      <c r="C21">
        <v>0</v>
      </c>
      <c r="D21">
        <v>2145.2703274257301</v>
      </c>
      <c r="E21">
        <v>23439.9488186934</v>
      </c>
      <c r="F21">
        <v>42140.719950933701</v>
      </c>
      <c r="G21">
        <v>58298.525145749998</v>
      </c>
      <c r="H21">
        <v>73064.161483233198</v>
      </c>
      <c r="I21">
        <v>80217.954779715103</v>
      </c>
      <c r="J21">
        <v>105124.653641931</v>
      </c>
      <c r="K21">
        <v>120459.380225592</v>
      </c>
      <c r="L21">
        <v>135233.950814076</v>
      </c>
      <c r="M21">
        <v>145560.449442916</v>
      </c>
      <c r="N21">
        <v>152845.344639396</v>
      </c>
      <c r="O21">
        <v>158219.921466762</v>
      </c>
      <c r="P21">
        <v>161710.19090061501</v>
      </c>
      <c r="Q21">
        <v>169008.83479011501</v>
      </c>
      <c r="R21">
        <v>174918.730648108</v>
      </c>
      <c r="S21">
        <v>176163.76109593801</v>
      </c>
      <c r="T21">
        <v>178273.00040734099</v>
      </c>
      <c r="U21">
        <v>180507.887553176</v>
      </c>
      <c r="V21">
        <v>180191.46113472799</v>
      </c>
      <c r="W21">
        <v>183443.433148543</v>
      </c>
      <c r="X21">
        <v>202996.053497685</v>
      </c>
      <c r="Y21">
        <v>218512.15392683301</v>
      </c>
      <c r="Z21">
        <v>230537.04223127101</v>
      </c>
      <c r="AA21">
        <v>215795.63717598899</v>
      </c>
      <c r="AB21">
        <v>235832.784978029</v>
      </c>
      <c r="AC21">
        <v>214014.69627756701</v>
      </c>
      <c r="AD21">
        <v>184512.45536697601</v>
      </c>
      <c r="AE21">
        <v>157174.653292848</v>
      </c>
      <c r="AF21">
        <v>135899.252882492</v>
      </c>
    </row>
    <row r="22" spans="1:32" x14ac:dyDescent="0.2">
      <c r="A22" t="s">
        <v>12</v>
      </c>
      <c r="B22" t="s">
        <v>17</v>
      </c>
      <c r="C22">
        <v>0</v>
      </c>
      <c r="D22" s="1">
        <v>-1.5672191553076401E-8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2266.5539240969301</v>
      </c>
      <c r="N22">
        <v>-734.49106334725695</v>
      </c>
      <c r="O22">
        <v>-4444.7572723994199</v>
      </c>
      <c r="P22">
        <v>-5699.5422972543502</v>
      </c>
      <c r="Q22">
        <v>-7071.3805575172</v>
      </c>
      <c r="R22">
        <v>-8064.1331804931797</v>
      </c>
      <c r="S22">
        <v>-8083.1467412553602</v>
      </c>
      <c r="T22">
        <v>-5652.2290862106001</v>
      </c>
      <c r="U22">
        <v>-3912.9130764213301</v>
      </c>
      <c r="V22">
        <v>-2103.67726403499</v>
      </c>
      <c r="W22">
        <v>275.01917017784501</v>
      </c>
      <c r="X22">
        <v>-3031.0014530643998</v>
      </c>
      <c r="Y22">
        <v>-9132.3250069321493</v>
      </c>
      <c r="Z22">
        <v>-20705.8938364241</v>
      </c>
      <c r="AA22">
        <v>-32237.353382101301</v>
      </c>
      <c r="AB22">
        <v>-23718.366270390601</v>
      </c>
      <c r="AC22">
        <v>-26010.982398288601</v>
      </c>
      <c r="AD22">
        <v>-29981.388333745799</v>
      </c>
      <c r="AE22">
        <v>-34868.835981979799</v>
      </c>
      <c r="AF22">
        <v>-36418.681021171898</v>
      </c>
    </row>
    <row r="23" spans="1:32" x14ac:dyDescent="0.2">
      <c r="A23" t="s">
        <v>12</v>
      </c>
      <c r="B23" t="s">
        <v>10</v>
      </c>
      <c r="C23">
        <v>3793936.8888367601</v>
      </c>
      <c r="D23">
        <v>3821482.1788493101</v>
      </c>
      <c r="E23">
        <v>4020714.8215858601</v>
      </c>
      <c r="F23">
        <v>3791390.7044395502</v>
      </c>
      <c r="G23">
        <v>4215223.6108671203</v>
      </c>
      <c r="H23">
        <v>4578140.57226652</v>
      </c>
      <c r="I23">
        <v>5186269.7423772505</v>
      </c>
      <c r="J23">
        <v>5722537.2436442096</v>
      </c>
      <c r="K23">
        <v>6151244.8520144699</v>
      </c>
      <c r="L23">
        <v>6577218.3351738304</v>
      </c>
      <c r="M23">
        <v>7092878.6955324197</v>
      </c>
      <c r="N23">
        <v>7138776.03594393</v>
      </c>
      <c r="O23">
        <v>7134669.82100794</v>
      </c>
      <c r="P23">
        <v>7194249.0117367497</v>
      </c>
      <c r="Q23">
        <v>7208095.0411228901</v>
      </c>
      <c r="R23">
        <v>7239097.5207110802</v>
      </c>
      <c r="S23">
        <v>7312028.2897600699</v>
      </c>
      <c r="T23">
        <v>7303357.9900273597</v>
      </c>
      <c r="U23">
        <v>7383983.7039401</v>
      </c>
      <c r="V23">
        <v>7458460.1185685098</v>
      </c>
      <c r="W23">
        <v>7535953.9084873004</v>
      </c>
      <c r="X23">
        <v>7763486.8850632804</v>
      </c>
      <c r="Y23">
        <v>7975392.9279315397</v>
      </c>
      <c r="Z23">
        <v>8173367.3530709399</v>
      </c>
      <c r="AA23">
        <v>8339561.5241471399</v>
      </c>
      <c r="AB23">
        <v>8408265.2466089595</v>
      </c>
      <c r="AC23">
        <v>8609654.1064943094</v>
      </c>
      <c r="AD23">
        <v>8659164.2905614804</v>
      </c>
      <c r="AE23">
        <v>8815137.3016271796</v>
      </c>
      <c r="AF23">
        <v>8808014.0912645292</v>
      </c>
    </row>
    <row r="24" spans="1:32" x14ac:dyDescent="0.2">
      <c r="A24" t="s">
        <v>12</v>
      </c>
      <c r="B24" t="s">
        <v>11</v>
      </c>
      <c r="C24">
        <v>79693128.517555401</v>
      </c>
      <c r="D24">
        <v>79515963.793737397</v>
      </c>
      <c r="E24">
        <v>79326463.083540693</v>
      </c>
      <c r="F24">
        <v>74914172.360317096</v>
      </c>
      <c r="G24">
        <v>74914172.360317096</v>
      </c>
      <c r="H24">
        <v>74914172.360317096</v>
      </c>
      <c r="I24">
        <v>74872542.041787893</v>
      </c>
      <c r="J24">
        <v>74809201.850055203</v>
      </c>
      <c r="K24">
        <v>74694121.914002106</v>
      </c>
      <c r="L24">
        <v>74624986.3434048</v>
      </c>
      <c r="M24">
        <v>74486730.765128896</v>
      </c>
      <c r="N24">
        <v>74474270.906787202</v>
      </c>
      <c r="O24">
        <v>74436182.485457703</v>
      </c>
      <c r="P24">
        <v>74434184.472056597</v>
      </c>
      <c r="Q24">
        <v>74404879.515596107</v>
      </c>
      <c r="R24">
        <v>74396707.500236198</v>
      </c>
      <c r="S24">
        <v>74387324.267716005</v>
      </c>
      <c r="T24">
        <v>74374748.457754403</v>
      </c>
      <c r="U24">
        <v>74373508.034247994</v>
      </c>
      <c r="V24">
        <v>74368034.837345898</v>
      </c>
      <c r="W24">
        <v>74387892.870893598</v>
      </c>
      <c r="X24">
        <v>74297858.785603493</v>
      </c>
      <c r="Y24">
        <v>74190878.094499007</v>
      </c>
      <c r="Z24">
        <v>74124327.414521694</v>
      </c>
      <c r="AA24">
        <v>74033601.416182801</v>
      </c>
      <c r="AB24">
        <v>58909318.333677597</v>
      </c>
      <c r="AC24">
        <v>58896878.337688603</v>
      </c>
      <c r="AD24">
        <v>58861184.530426197</v>
      </c>
      <c r="AE24">
        <v>58853291.6240898</v>
      </c>
      <c r="AF24">
        <v>58837212.186709501</v>
      </c>
    </row>
    <row r="25" spans="1:32" x14ac:dyDescent="0.2">
      <c r="A25" t="s">
        <v>18</v>
      </c>
      <c r="B25" t="s">
        <v>3</v>
      </c>
      <c r="C25">
        <v>228934542.09592101</v>
      </c>
      <c r="D25">
        <v>236072064.26593801</v>
      </c>
      <c r="E25">
        <v>242242638.834566</v>
      </c>
      <c r="F25">
        <v>246344219.55119699</v>
      </c>
      <c r="G25">
        <v>251031932.70976299</v>
      </c>
      <c r="H25">
        <v>255795998.23888299</v>
      </c>
      <c r="I25">
        <v>260683547.45792699</v>
      </c>
      <c r="J25">
        <v>265627966.63822201</v>
      </c>
      <c r="K25">
        <v>270545370.20974702</v>
      </c>
      <c r="L25">
        <v>275430522.751634</v>
      </c>
      <c r="M25">
        <v>280194179.22688699</v>
      </c>
      <c r="N25">
        <v>285050712.23180503</v>
      </c>
      <c r="O25">
        <v>290002830.13540697</v>
      </c>
      <c r="P25">
        <v>294948389.06637299</v>
      </c>
      <c r="Q25">
        <v>299934107.91024798</v>
      </c>
      <c r="R25">
        <v>301308691.03749299</v>
      </c>
      <c r="S25">
        <v>305090620.07874399</v>
      </c>
      <c r="T25">
        <v>309249144.34292102</v>
      </c>
      <c r="U25">
        <v>314137030.22899997</v>
      </c>
      <c r="V25">
        <v>318996815.45461899</v>
      </c>
      <c r="W25">
        <v>323821668.29798502</v>
      </c>
      <c r="X25">
        <v>328536212.06144398</v>
      </c>
      <c r="Y25">
        <v>333238780.065687</v>
      </c>
      <c r="Z25">
        <v>301440934.391734</v>
      </c>
      <c r="AA25">
        <v>272802246.51108402</v>
      </c>
      <c r="AB25">
        <v>256988532.854422</v>
      </c>
      <c r="AC25">
        <v>239382233.30587</v>
      </c>
      <c r="AD25">
        <v>218680270.96082601</v>
      </c>
      <c r="AE25">
        <v>210032604.9043</v>
      </c>
      <c r="AF25">
        <v>206805440.08392701</v>
      </c>
    </row>
    <row r="26" spans="1:32" x14ac:dyDescent="0.2">
      <c r="A26" t="s">
        <v>18</v>
      </c>
      <c r="B26" t="s">
        <v>13</v>
      </c>
      <c r="C26">
        <v>179.09699999999901</v>
      </c>
      <c r="D26">
        <v>42.477999999999803</v>
      </c>
      <c r="E26">
        <v>32.527999999999999</v>
      </c>
      <c r="F26">
        <v>22.302999999999901</v>
      </c>
      <c r="G26">
        <v>26.8189999999999</v>
      </c>
      <c r="H26">
        <v>28.864000000000001</v>
      </c>
      <c r="I26">
        <v>31.212</v>
      </c>
      <c r="J26">
        <v>33.354999999999997</v>
      </c>
      <c r="K26">
        <v>35.105999999999902</v>
      </c>
      <c r="L26">
        <v>37.008999999999901</v>
      </c>
      <c r="M26">
        <v>38.435000000000002</v>
      </c>
      <c r="N26">
        <v>39.674999999999997</v>
      </c>
      <c r="O26">
        <v>40.957000000000001</v>
      </c>
      <c r="P26">
        <v>41.425999999999902</v>
      </c>
      <c r="Q26">
        <v>42.295000000000002</v>
      </c>
      <c r="R26">
        <v>80.805999999999898</v>
      </c>
      <c r="S26">
        <v>55.308999999999799</v>
      </c>
      <c r="T26">
        <v>52.555999999999898</v>
      </c>
      <c r="U26">
        <v>45.922999999999803</v>
      </c>
      <c r="V26">
        <v>46.659999999999897</v>
      </c>
      <c r="W26">
        <v>47.678000000000097</v>
      </c>
      <c r="X26">
        <v>48.719999999999899</v>
      </c>
      <c r="Y26">
        <v>49.556000000000097</v>
      </c>
      <c r="Z26">
        <v>170.028999999999</v>
      </c>
      <c r="AA26">
        <v>154.07199999999901</v>
      </c>
      <c r="AB26">
        <v>115.42899999999899</v>
      </c>
      <c r="AC26">
        <v>68.354999999999706</v>
      </c>
      <c r="AD26">
        <v>76.7229999999999</v>
      </c>
      <c r="AE26">
        <v>100.00599999999901</v>
      </c>
      <c r="AF26">
        <v>40.315000000000403</v>
      </c>
    </row>
    <row r="27" spans="1:32" x14ac:dyDescent="0.2">
      <c r="A27" t="s">
        <v>18</v>
      </c>
      <c r="B27" t="s">
        <v>4</v>
      </c>
      <c r="C27">
        <v>712.09699999999896</v>
      </c>
      <c r="D27">
        <v>754.57499999999902</v>
      </c>
      <c r="E27">
        <v>787.10299999999904</v>
      </c>
      <c r="F27">
        <v>809.40599999999904</v>
      </c>
      <c r="G27">
        <v>836.224999999999</v>
      </c>
      <c r="H27">
        <v>865.08899999999903</v>
      </c>
      <c r="I27">
        <v>896.30099999999902</v>
      </c>
      <c r="J27">
        <v>929.65599999999904</v>
      </c>
      <c r="K27">
        <v>964.76199999999903</v>
      </c>
      <c r="L27">
        <v>1001.77099999999</v>
      </c>
      <c r="M27">
        <v>1040.2059999999899</v>
      </c>
      <c r="N27">
        <v>1079.8809999999901</v>
      </c>
      <c r="O27">
        <v>1120.83799999999</v>
      </c>
      <c r="P27">
        <v>1162.2639999999899</v>
      </c>
      <c r="Q27">
        <v>1204.55899999999</v>
      </c>
      <c r="R27">
        <v>1247.26799999999</v>
      </c>
      <c r="S27">
        <v>1289.6089999999899</v>
      </c>
      <c r="T27">
        <v>1332.47199999999</v>
      </c>
      <c r="U27">
        <v>1375.25999999999</v>
      </c>
      <c r="V27">
        <v>1418.1879999999901</v>
      </c>
      <c r="W27">
        <v>1461.3239999999901</v>
      </c>
      <c r="X27">
        <v>1504.71999999999</v>
      </c>
      <c r="Y27">
        <v>1548.1609999999901</v>
      </c>
      <c r="Z27">
        <v>1592.47099999999</v>
      </c>
      <c r="AA27">
        <v>1637.2269999999901</v>
      </c>
      <c r="AB27">
        <v>1682.7429999999899</v>
      </c>
      <c r="AC27">
        <v>1682.7429999999899</v>
      </c>
      <c r="AD27">
        <v>1682.7429999999899</v>
      </c>
      <c r="AE27">
        <v>1682.7429999999899</v>
      </c>
      <c r="AF27">
        <v>1682.7429999999899</v>
      </c>
    </row>
    <row r="28" spans="1:32" x14ac:dyDescent="0.2">
      <c r="A28" t="s">
        <v>18</v>
      </c>
      <c r="B28" t="s">
        <v>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38.097000000000001</v>
      </c>
      <c r="S28">
        <v>12.9679999999999</v>
      </c>
      <c r="T28">
        <v>9.6929999999999907</v>
      </c>
      <c r="U28">
        <v>3.1349999999999998</v>
      </c>
      <c r="V28">
        <v>3.73199999999999</v>
      </c>
      <c r="W28">
        <v>4.5419999999999998</v>
      </c>
      <c r="X28">
        <v>5.3239999999999901</v>
      </c>
      <c r="Y28">
        <v>6.1149999999999904</v>
      </c>
      <c r="Z28">
        <v>125.718999999999</v>
      </c>
      <c r="AA28">
        <v>109.31599999999899</v>
      </c>
      <c r="AB28">
        <v>69.912999999999798</v>
      </c>
      <c r="AC28">
        <v>68.354999999999905</v>
      </c>
      <c r="AD28">
        <v>76.7229999999999</v>
      </c>
      <c r="AE28">
        <v>100.00599999999901</v>
      </c>
      <c r="AF28">
        <v>40.314999999999898</v>
      </c>
    </row>
    <row r="29" spans="1:32" x14ac:dyDescent="0.2">
      <c r="A29" t="s">
        <v>18</v>
      </c>
      <c r="B29" t="s">
        <v>14</v>
      </c>
      <c r="C29">
        <v>397575014.52240199</v>
      </c>
      <c r="D29">
        <v>88414164.171756893</v>
      </c>
      <c r="E29">
        <v>78072803.083894894</v>
      </c>
      <c r="F29">
        <v>54394481.238803998</v>
      </c>
      <c r="G29">
        <v>62256483.483374797</v>
      </c>
      <c r="H29">
        <v>63042391.829964899</v>
      </c>
      <c r="I29">
        <v>64416365.281342499</v>
      </c>
      <c r="J29">
        <v>64901240.153876603</v>
      </c>
      <c r="K29">
        <v>64356979.860381201</v>
      </c>
      <c r="L29">
        <v>63769062.706132904</v>
      </c>
      <c r="M29">
        <v>61977495.631043501</v>
      </c>
      <c r="N29">
        <v>63102632.356702998</v>
      </c>
      <c r="O29">
        <v>64302831.896800302</v>
      </c>
      <c r="P29">
        <v>64138368.659796603</v>
      </c>
      <c r="Q29">
        <v>64608979.1737983</v>
      </c>
      <c r="R29">
        <v>103253417.523378</v>
      </c>
      <c r="S29">
        <v>75993291.118374899</v>
      </c>
      <c r="T29">
        <v>72524605.877839103</v>
      </c>
      <c r="U29">
        <v>69011103.310704306</v>
      </c>
      <c r="V29">
        <v>69136568.343298003</v>
      </c>
      <c r="W29">
        <v>69292488.672298506</v>
      </c>
      <c r="X29">
        <v>68630643.297312304</v>
      </c>
      <c r="Y29">
        <v>69197677.505687907</v>
      </c>
      <c r="Z29">
        <v>255017553.46487701</v>
      </c>
      <c r="AA29">
        <v>228097543.555464</v>
      </c>
      <c r="AB29">
        <v>165606757.94421101</v>
      </c>
      <c r="AC29">
        <v>95626194.029331595</v>
      </c>
      <c r="AD29">
        <v>106669645.830476</v>
      </c>
      <c r="AE29">
        <v>135573061.28406</v>
      </c>
      <c r="AF29">
        <v>51722792.0050148</v>
      </c>
    </row>
    <row r="30" spans="1:32" x14ac:dyDescent="0.2">
      <c r="A30" t="s">
        <v>18</v>
      </c>
      <c r="B30" t="s">
        <v>6</v>
      </c>
      <c r="C30">
        <v>5739491.0661823899</v>
      </c>
      <c r="D30">
        <v>6567708.9669438899</v>
      </c>
      <c r="E30">
        <v>7161739.9546638699</v>
      </c>
      <c r="F30">
        <v>7477171.3621894298</v>
      </c>
      <c r="G30">
        <v>7834857.22564667</v>
      </c>
      <c r="H30">
        <v>8205617.1736049103</v>
      </c>
      <c r="I30">
        <v>8594250.9496399295</v>
      </c>
      <c r="J30">
        <v>8995816.0655956808</v>
      </c>
      <c r="K30">
        <v>9401213.1574492697</v>
      </c>
      <c r="L30">
        <v>9809220.61765071</v>
      </c>
      <c r="M30">
        <v>10213613.6527969</v>
      </c>
      <c r="N30">
        <v>10628535.790574601</v>
      </c>
      <c r="O30">
        <v>11052951.495109599</v>
      </c>
      <c r="P30">
        <v>11479324.673963999</v>
      </c>
      <c r="Q30">
        <v>11910755.8632027</v>
      </c>
      <c r="R30">
        <v>11659780.2862572</v>
      </c>
      <c r="S30">
        <v>11878388.0723598</v>
      </c>
      <c r="T30">
        <v>12168816.5024579</v>
      </c>
      <c r="U30">
        <v>12579544.2018974</v>
      </c>
      <c r="V30">
        <v>12988567.2376047</v>
      </c>
      <c r="W30">
        <v>13395317.388500899</v>
      </c>
      <c r="X30">
        <v>13790583.392043401</v>
      </c>
      <c r="Y30">
        <v>14186627.9802192</v>
      </c>
      <c r="Z30">
        <v>15426951.784037</v>
      </c>
      <c r="AA30">
        <v>16548455.447494701</v>
      </c>
      <c r="AB30">
        <v>17384573.926073</v>
      </c>
      <c r="AC30">
        <v>17750596.446913902</v>
      </c>
      <c r="AD30">
        <v>18165524.400113799</v>
      </c>
      <c r="AE30">
        <v>16913285.431526799</v>
      </c>
      <c r="AF30">
        <v>16517263.4790329</v>
      </c>
    </row>
    <row r="31" spans="1:32" x14ac:dyDescent="0.2">
      <c r="A31" t="s">
        <v>18</v>
      </c>
      <c r="B31" t="s">
        <v>9</v>
      </c>
      <c r="C31">
        <v>1166153.6553163501</v>
      </c>
      <c r="D31">
        <v>1218319.81506341</v>
      </c>
      <c r="E31">
        <v>1258606.62891463</v>
      </c>
      <c r="F31">
        <v>1292570.41512633</v>
      </c>
      <c r="G31">
        <v>1333382.3476942901</v>
      </c>
      <c r="H31">
        <v>1376377.44553802</v>
      </c>
      <c r="I31">
        <v>1422140.8323063101</v>
      </c>
      <c r="J31">
        <v>1432226.26183005</v>
      </c>
      <c r="K31">
        <v>1400249.7105695</v>
      </c>
      <c r="L31">
        <v>1317262.42575679</v>
      </c>
      <c r="M31">
        <v>1351444.08002302</v>
      </c>
      <c r="N31">
        <v>1394719.9076223001</v>
      </c>
      <c r="O31">
        <v>1449218.5416808401</v>
      </c>
      <c r="P31">
        <v>1496706.4093769901</v>
      </c>
      <c r="Q31">
        <v>1547310.9581673299</v>
      </c>
      <c r="R31">
        <v>1604287.4624943901</v>
      </c>
      <c r="S31">
        <v>1619972.0883836399</v>
      </c>
      <c r="T31">
        <v>1714857.2238308</v>
      </c>
      <c r="U31">
        <v>1733197.46899558</v>
      </c>
      <c r="V31">
        <v>1757840.01117077</v>
      </c>
      <c r="W31">
        <v>1814601.3008534999</v>
      </c>
      <c r="X31">
        <v>1766752.98699287</v>
      </c>
      <c r="Y31">
        <v>1708513.1790783801</v>
      </c>
      <c r="Z31">
        <v>1665084.5857440501</v>
      </c>
      <c r="AA31">
        <v>1624972.88789786</v>
      </c>
      <c r="AB31">
        <v>1701555.36431728</v>
      </c>
      <c r="AC31">
        <v>1612846.5838846001</v>
      </c>
      <c r="AD31">
        <v>1651488.58281906</v>
      </c>
      <c r="AE31">
        <v>1618510.73656331</v>
      </c>
      <c r="AF31">
        <v>1719085.8074946301</v>
      </c>
    </row>
    <row r="32" spans="1:32" x14ac:dyDescent="0.2">
      <c r="A32" t="s">
        <v>18</v>
      </c>
      <c r="B32" t="s">
        <v>16</v>
      </c>
      <c r="C32">
        <v>4925.7979654589899</v>
      </c>
      <c r="D32">
        <v>8777.9274172525693</v>
      </c>
      <c r="E32">
        <v>10455.533952412599</v>
      </c>
      <c r="F32">
        <v>7778.9285367827697</v>
      </c>
      <c r="G32">
        <v>6243.4861523592299</v>
      </c>
      <c r="H32">
        <v>9932.5218939767401</v>
      </c>
      <c r="I32">
        <v>12379.635008859301</v>
      </c>
      <c r="J32">
        <v>12132.5773290539</v>
      </c>
      <c r="K32">
        <v>13778.863591888899</v>
      </c>
      <c r="L32">
        <v>15695.293004581101</v>
      </c>
      <c r="M32">
        <v>16653.927466056099</v>
      </c>
      <c r="N32">
        <v>16547.495609853999</v>
      </c>
      <c r="O32">
        <v>18210.0718627067</v>
      </c>
      <c r="P32">
        <v>20828.3712850314</v>
      </c>
      <c r="Q32">
        <v>20772.299936942902</v>
      </c>
      <c r="R32">
        <v>22795.0605198269</v>
      </c>
      <c r="S32">
        <v>24758.574830852001</v>
      </c>
      <c r="T32">
        <v>25931.159273379901</v>
      </c>
      <c r="U32">
        <v>27112.767151217799</v>
      </c>
      <c r="V32">
        <v>30020.3853181097</v>
      </c>
      <c r="W32">
        <v>30335.2703546964</v>
      </c>
      <c r="X32">
        <v>32405.096032141599</v>
      </c>
      <c r="Y32">
        <v>32080.260781790101</v>
      </c>
      <c r="Z32">
        <v>35267.126963992501</v>
      </c>
      <c r="AA32">
        <v>32703.492840769701</v>
      </c>
      <c r="AB32">
        <v>30104.772938239399</v>
      </c>
      <c r="AC32">
        <v>29198.501420824501</v>
      </c>
      <c r="AD32">
        <v>30504.874662812901</v>
      </c>
      <c r="AE32">
        <v>30012.765643623599</v>
      </c>
      <c r="AF32">
        <v>34383.599008625199</v>
      </c>
    </row>
    <row r="33" spans="1:36" x14ac:dyDescent="0.2">
      <c r="A33" t="s">
        <v>18</v>
      </c>
      <c r="B33" t="s">
        <v>10</v>
      </c>
      <c r="C33">
        <v>1166153.6553163501</v>
      </c>
      <c r="D33">
        <v>1218319.81506341</v>
      </c>
      <c r="E33">
        <v>1258606.62891463</v>
      </c>
      <c r="F33">
        <v>1292570.41512633</v>
      </c>
      <c r="G33">
        <v>1333382.3476942901</v>
      </c>
      <c r="H33">
        <v>1376377.44553802</v>
      </c>
      <c r="I33">
        <v>1422140.8323063101</v>
      </c>
      <c r="J33">
        <v>1432226.26183005</v>
      </c>
      <c r="K33">
        <v>1400249.7105695</v>
      </c>
      <c r="L33">
        <v>1317262.42575679</v>
      </c>
      <c r="M33">
        <v>1351444.08002302</v>
      </c>
      <c r="N33">
        <v>1394719.9076223001</v>
      </c>
      <c r="O33">
        <v>1449218.5416808401</v>
      </c>
      <c r="P33">
        <v>1496706.4093769901</v>
      </c>
      <c r="Q33">
        <v>1547310.9581673299</v>
      </c>
      <c r="R33">
        <v>1604287.4624943901</v>
      </c>
      <c r="S33">
        <v>1619972.0883836399</v>
      </c>
      <c r="T33">
        <v>1714857.2238308</v>
      </c>
      <c r="U33">
        <v>1733197.46899558</v>
      </c>
      <c r="V33">
        <v>1757840.01117077</v>
      </c>
      <c r="W33">
        <v>1814601.3008534999</v>
      </c>
      <c r="X33">
        <v>1766752.98699287</v>
      </c>
      <c r="Y33">
        <v>1708513.1790783801</v>
      </c>
      <c r="Z33">
        <v>1665084.5857440501</v>
      </c>
      <c r="AA33">
        <v>1624972.88789786</v>
      </c>
      <c r="AB33">
        <v>1701555.36431728</v>
      </c>
      <c r="AC33">
        <v>1612846.5838846001</v>
      </c>
      <c r="AD33">
        <v>1651488.58281906</v>
      </c>
      <c r="AE33">
        <v>1618510.73656331</v>
      </c>
      <c r="AF33">
        <v>1719085.8074946301</v>
      </c>
    </row>
    <row r="34" spans="1:36" x14ac:dyDescent="0.2">
      <c r="A34" t="s">
        <v>19</v>
      </c>
      <c r="B34" t="s">
        <v>20</v>
      </c>
      <c r="C34">
        <v>4708770.3490334004</v>
      </c>
      <c r="D34">
        <v>4721969.0027341703</v>
      </c>
      <c r="E34">
        <v>4575681.6407299098</v>
      </c>
      <c r="F34">
        <v>3704549.8683560002</v>
      </c>
      <c r="G34">
        <v>3409103.5186094102</v>
      </c>
      <c r="H34">
        <v>3195803.96924337</v>
      </c>
      <c r="I34">
        <v>2721735.58462389</v>
      </c>
      <c r="J34">
        <v>2307263.63801408</v>
      </c>
      <c r="K34">
        <v>1947543.8316768201</v>
      </c>
      <c r="L34">
        <v>1705506.72041726</v>
      </c>
      <c r="M34">
        <v>1229329.69389616</v>
      </c>
      <c r="N34">
        <v>1189299.9076865599</v>
      </c>
      <c r="O34">
        <v>1153795.12094729</v>
      </c>
      <c r="P34">
        <v>1141127.3060977401</v>
      </c>
      <c r="Q34">
        <v>1108529.2786391501</v>
      </c>
      <c r="R34">
        <v>1084403.22879628</v>
      </c>
      <c r="S34">
        <v>1068721.02411093</v>
      </c>
      <c r="T34">
        <v>1056111.0048416599</v>
      </c>
      <c r="U34">
        <v>1053417.4543463001</v>
      </c>
      <c r="V34">
        <v>1059694.30439403</v>
      </c>
      <c r="W34">
        <v>1064757.2946891701</v>
      </c>
      <c r="X34">
        <v>928160.03436670895</v>
      </c>
      <c r="Y34">
        <v>810105.36558096099</v>
      </c>
      <c r="Z34">
        <v>735537.28542831203</v>
      </c>
      <c r="AA34">
        <v>645227.23359329801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6" x14ac:dyDescent="0.2">
      <c r="A35" t="s">
        <v>19</v>
      </c>
      <c r="B35" t="s">
        <v>21</v>
      </c>
      <c r="C35">
        <v>24646.045539869901</v>
      </c>
      <c r="D35">
        <v>29991.353282186501</v>
      </c>
      <c r="E35">
        <v>36433.744463208001</v>
      </c>
      <c r="F35">
        <v>44094.823512284798</v>
      </c>
      <c r="G35">
        <v>53151.709924340299</v>
      </c>
      <c r="H35">
        <v>63752.443874236204</v>
      </c>
      <c r="I35">
        <v>76018.629791322601</v>
      </c>
      <c r="J35">
        <v>90108.882148665507</v>
      </c>
      <c r="K35">
        <v>106216.181888494</v>
      </c>
      <c r="L35">
        <v>124493.856334774</v>
      </c>
      <c r="M35">
        <v>145082.01493871101</v>
      </c>
      <c r="N35">
        <v>168126.054300616</v>
      </c>
      <c r="O35">
        <v>193776.65816990301</v>
      </c>
      <c r="P35">
        <v>222195.08459418701</v>
      </c>
      <c r="Q35">
        <v>253526.73017378</v>
      </c>
      <c r="R35">
        <v>287956.64512725698</v>
      </c>
      <c r="S35">
        <v>321548.546948036</v>
      </c>
      <c r="T35">
        <v>360454.03361651901</v>
      </c>
      <c r="U35">
        <v>406587.05310769897</v>
      </c>
      <c r="V35">
        <v>460669.301274025</v>
      </c>
      <c r="W35">
        <v>523472.70188441902</v>
      </c>
      <c r="X35">
        <v>597072.46096148796</v>
      </c>
      <c r="Y35">
        <v>672734.20818841294</v>
      </c>
      <c r="Z35">
        <v>751343.54103981098</v>
      </c>
      <c r="AA35">
        <v>835166.00290596799</v>
      </c>
      <c r="AB35">
        <v>925893.48149958905</v>
      </c>
      <c r="AC35">
        <v>1019690.15014703</v>
      </c>
      <c r="AD35">
        <v>1114240.2375415401</v>
      </c>
      <c r="AE35">
        <v>1200180.20262312</v>
      </c>
      <c r="AF35">
        <v>1273399.28696484</v>
      </c>
    </row>
    <row r="36" spans="1:36" x14ac:dyDescent="0.2">
      <c r="A36" t="s">
        <v>19</v>
      </c>
      <c r="B36" t="s">
        <v>22</v>
      </c>
      <c r="C36">
        <v>7917644.3531826697</v>
      </c>
      <c r="D36">
        <v>7929797.9314472498</v>
      </c>
      <c r="E36">
        <v>7993671.9785876404</v>
      </c>
      <c r="F36">
        <v>8056386.0516544199</v>
      </c>
      <c r="G36">
        <v>8119299.7722034696</v>
      </c>
      <c r="H36">
        <v>8223605.4441297697</v>
      </c>
      <c r="I36">
        <v>8245552.9905121597</v>
      </c>
      <c r="J36">
        <v>8267952.7579018697</v>
      </c>
      <c r="K36">
        <v>8289242.7161448803</v>
      </c>
      <c r="L36">
        <v>8351243.9644418601</v>
      </c>
      <c r="M36">
        <v>8425359.9006632306</v>
      </c>
      <c r="N36">
        <v>8457215.4813434593</v>
      </c>
      <c r="O36">
        <v>8465635.6342940293</v>
      </c>
      <c r="P36">
        <v>8525741.4602411296</v>
      </c>
      <c r="Q36">
        <v>8547706.1605790406</v>
      </c>
      <c r="R36">
        <v>8573907.7487371694</v>
      </c>
      <c r="S36">
        <v>8611264.0635004696</v>
      </c>
      <c r="T36">
        <v>8650770.4580376707</v>
      </c>
      <c r="U36">
        <v>8687254.1176068708</v>
      </c>
      <c r="V36">
        <v>8736513.3394747209</v>
      </c>
      <c r="W36">
        <v>8798578.1550558992</v>
      </c>
      <c r="X36">
        <v>8817074.7056673709</v>
      </c>
      <c r="Y36">
        <v>8851881.0918827001</v>
      </c>
      <c r="Z36">
        <v>8902569.1552693807</v>
      </c>
      <c r="AA36">
        <v>8958181.7576656602</v>
      </c>
      <c r="AB36">
        <v>9000426.7479595803</v>
      </c>
      <c r="AC36">
        <v>9043715.7827034406</v>
      </c>
      <c r="AD36">
        <v>9086945.4908417203</v>
      </c>
      <c r="AE36">
        <v>9137979.7024065405</v>
      </c>
      <c r="AF36">
        <v>9184843.1517909598</v>
      </c>
    </row>
    <row r="38" spans="1:36" x14ac:dyDescent="0.2">
      <c r="B38" s="3" t="s">
        <v>27</v>
      </c>
      <c r="C38">
        <f>C1</f>
        <v>2020</v>
      </c>
      <c r="D38">
        <f t="shared" ref="D38:AB38" si="0">D1</f>
        <v>2021</v>
      </c>
      <c r="E38">
        <f t="shared" si="0"/>
        <v>2022</v>
      </c>
      <c r="F38">
        <f t="shared" si="0"/>
        <v>2023</v>
      </c>
      <c r="G38">
        <f t="shared" si="0"/>
        <v>2024</v>
      </c>
      <c r="H38">
        <f t="shared" si="0"/>
        <v>2025</v>
      </c>
      <c r="I38">
        <f t="shared" si="0"/>
        <v>2026</v>
      </c>
      <c r="J38">
        <f t="shared" si="0"/>
        <v>2027</v>
      </c>
      <c r="K38">
        <f t="shared" si="0"/>
        <v>2028</v>
      </c>
      <c r="L38">
        <f t="shared" si="0"/>
        <v>2029</v>
      </c>
      <c r="M38">
        <f t="shared" si="0"/>
        <v>2030</v>
      </c>
      <c r="N38">
        <f t="shared" si="0"/>
        <v>2031</v>
      </c>
      <c r="O38">
        <f t="shared" si="0"/>
        <v>2032</v>
      </c>
      <c r="P38">
        <f t="shared" si="0"/>
        <v>2033</v>
      </c>
      <c r="Q38">
        <f t="shared" si="0"/>
        <v>2034</v>
      </c>
      <c r="R38">
        <f t="shared" si="0"/>
        <v>2035</v>
      </c>
      <c r="S38">
        <f t="shared" si="0"/>
        <v>2036</v>
      </c>
      <c r="T38">
        <f t="shared" si="0"/>
        <v>2037</v>
      </c>
      <c r="U38">
        <f t="shared" si="0"/>
        <v>2038</v>
      </c>
      <c r="V38">
        <f t="shared" si="0"/>
        <v>2039</v>
      </c>
      <c r="W38">
        <f t="shared" si="0"/>
        <v>2040</v>
      </c>
      <c r="X38">
        <f t="shared" si="0"/>
        <v>2041</v>
      </c>
      <c r="Y38">
        <f t="shared" si="0"/>
        <v>2042</v>
      </c>
      <c r="Z38">
        <f t="shared" si="0"/>
        <v>2043</v>
      </c>
      <c r="AA38">
        <f t="shared" si="0"/>
        <v>2044</v>
      </c>
      <c r="AB38">
        <f t="shared" si="0"/>
        <v>2045</v>
      </c>
    </row>
    <row r="39" spans="1:36" x14ac:dyDescent="0.2">
      <c r="B39" s="3" t="s">
        <v>32</v>
      </c>
      <c r="C39">
        <f>SUMIFS(C$2:C$36, $A$2:$A$36, "distributed", $B$2:$B$36, "total_output")</f>
        <v>1166153.6553163501</v>
      </c>
      <c r="D39">
        <f t="shared" ref="D39:AB39" si="1">SUMIFS(D$2:D$36, $A$2:$A$36, "distributed", $B$2:$B$36, "total_output")</f>
        <v>1218319.81506341</v>
      </c>
      <c r="E39">
        <f t="shared" si="1"/>
        <v>1258606.62891463</v>
      </c>
      <c r="F39">
        <f t="shared" si="1"/>
        <v>1292570.41512633</v>
      </c>
      <c r="G39">
        <f t="shared" si="1"/>
        <v>1333382.3476942901</v>
      </c>
      <c r="H39">
        <f t="shared" si="1"/>
        <v>1376377.44553802</v>
      </c>
      <c r="I39">
        <f t="shared" si="1"/>
        <v>1422140.8323063101</v>
      </c>
      <c r="J39">
        <f t="shared" si="1"/>
        <v>1432226.26183005</v>
      </c>
      <c r="K39">
        <f t="shared" si="1"/>
        <v>1400249.7105695</v>
      </c>
      <c r="L39">
        <f t="shared" si="1"/>
        <v>1317262.42575679</v>
      </c>
      <c r="M39">
        <f t="shared" si="1"/>
        <v>1351444.08002302</v>
      </c>
      <c r="N39">
        <f t="shared" si="1"/>
        <v>1394719.9076223001</v>
      </c>
      <c r="O39">
        <f t="shared" si="1"/>
        <v>1449218.5416808401</v>
      </c>
      <c r="P39">
        <f t="shared" si="1"/>
        <v>1496706.4093769901</v>
      </c>
      <c r="Q39">
        <f t="shared" si="1"/>
        <v>1547310.9581673299</v>
      </c>
      <c r="R39">
        <f t="shared" si="1"/>
        <v>1604287.4624943901</v>
      </c>
      <c r="S39">
        <f t="shared" si="1"/>
        <v>1619972.0883836399</v>
      </c>
      <c r="T39">
        <f t="shared" si="1"/>
        <v>1714857.2238308</v>
      </c>
      <c r="U39">
        <f t="shared" si="1"/>
        <v>1733197.46899558</v>
      </c>
      <c r="V39">
        <f t="shared" si="1"/>
        <v>1757840.01117077</v>
      </c>
      <c r="W39">
        <f t="shared" si="1"/>
        <v>1814601.3008534999</v>
      </c>
      <c r="X39">
        <f t="shared" si="1"/>
        <v>1766752.98699287</v>
      </c>
      <c r="Y39">
        <f t="shared" si="1"/>
        <v>1708513.1790783801</v>
      </c>
      <c r="Z39">
        <f t="shared" si="1"/>
        <v>1665084.5857440501</v>
      </c>
      <c r="AA39">
        <f t="shared" si="1"/>
        <v>1624972.88789786</v>
      </c>
      <c r="AB39">
        <f t="shared" si="1"/>
        <v>1701555.36431728</v>
      </c>
    </row>
    <row r="40" spans="1:36" x14ac:dyDescent="0.2">
      <c r="B40" t="s">
        <v>25</v>
      </c>
      <c r="C40">
        <f>SUMIF($B$2:$B$36, "gross_load", C$2:C$36)</f>
        <v>7917644.3531826697</v>
      </c>
      <c r="D40">
        <f t="shared" ref="D40:AB40" si="2">SUMIF($B$2:$B$36, "gross_load", D$2:D$36)</f>
        <v>7929797.9314472498</v>
      </c>
      <c r="E40">
        <f t="shared" si="2"/>
        <v>7993671.9785876404</v>
      </c>
      <c r="F40">
        <f t="shared" si="2"/>
        <v>8056386.0516544199</v>
      </c>
      <c r="G40">
        <f t="shared" si="2"/>
        <v>8119299.7722034696</v>
      </c>
      <c r="H40">
        <f t="shared" si="2"/>
        <v>8223605.4441297697</v>
      </c>
      <c r="I40">
        <f t="shared" si="2"/>
        <v>8245552.9905121597</v>
      </c>
      <c r="J40">
        <f t="shared" si="2"/>
        <v>8267952.7579018697</v>
      </c>
      <c r="K40">
        <f t="shared" si="2"/>
        <v>8289242.7161448803</v>
      </c>
      <c r="L40">
        <f t="shared" si="2"/>
        <v>8351243.9644418601</v>
      </c>
      <c r="M40">
        <f t="shared" si="2"/>
        <v>8425359.9006632306</v>
      </c>
      <c r="N40">
        <f t="shared" si="2"/>
        <v>8457215.4813434593</v>
      </c>
      <c r="O40">
        <f t="shared" si="2"/>
        <v>8465635.6342940293</v>
      </c>
      <c r="P40">
        <f t="shared" si="2"/>
        <v>8525741.4602411296</v>
      </c>
      <c r="Q40">
        <f t="shared" si="2"/>
        <v>8547706.1605790406</v>
      </c>
      <c r="R40">
        <f t="shared" si="2"/>
        <v>8573907.7487371694</v>
      </c>
      <c r="S40">
        <f t="shared" si="2"/>
        <v>8611264.0635004696</v>
      </c>
      <c r="T40">
        <f t="shared" si="2"/>
        <v>8650770.4580376707</v>
      </c>
      <c r="U40">
        <f t="shared" si="2"/>
        <v>8687254.1176068708</v>
      </c>
      <c r="V40">
        <f t="shared" si="2"/>
        <v>8736513.3394747209</v>
      </c>
      <c r="W40">
        <f t="shared" si="2"/>
        <v>8798578.1550558992</v>
      </c>
      <c r="X40">
        <f t="shared" si="2"/>
        <v>8817074.7056673709</v>
      </c>
      <c r="Y40">
        <f t="shared" si="2"/>
        <v>8851881.0918827001</v>
      </c>
      <c r="Z40">
        <f t="shared" si="2"/>
        <v>8902569.1552693807</v>
      </c>
      <c r="AA40">
        <f t="shared" si="2"/>
        <v>8958181.7576656602</v>
      </c>
      <c r="AB40">
        <f t="shared" si="2"/>
        <v>9000426.7479595803</v>
      </c>
    </row>
    <row r="41" spans="1:36" x14ac:dyDescent="0.2">
      <c r="B41" t="s">
        <v>26</v>
      </c>
      <c r="C41">
        <f>SUMIF($B$2:$B$36, "ev_load", C$2:C$36)</f>
        <v>24646.045539869901</v>
      </c>
      <c r="D41">
        <f t="shared" ref="D41:AB41" si="3">SUMIF($B$2:$B$36, "ev_load", D$2:D$36)</f>
        <v>29991.353282186501</v>
      </c>
      <c r="E41">
        <f t="shared" si="3"/>
        <v>36433.744463208001</v>
      </c>
      <c r="F41">
        <f t="shared" si="3"/>
        <v>44094.823512284798</v>
      </c>
      <c r="G41">
        <f t="shared" si="3"/>
        <v>53151.709924340299</v>
      </c>
      <c r="H41">
        <f t="shared" si="3"/>
        <v>63752.443874236204</v>
      </c>
      <c r="I41">
        <f t="shared" si="3"/>
        <v>76018.629791322601</v>
      </c>
      <c r="J41">
        <f t="shared" si="3"/>
        <v>90108.882148665507</v>
      </c>
      <c r="K41">
        <f t="shared" si="3"/>
        <v>106216.181888494</v>
      </c>
      <c r="L41">
        <f t="shared" si="3"/>
        <v>124493.856334774</v>
      </c>
      <c r="M41">
        <f t="shared" si="3"/>
        <v>145082.01493871101</v>
      </c>
      <c r="N41">
        <f t="shared" si="3"/>
        <v>168126.054300616</v>
      </c>
      <c r="O41">
        <f t="shared" si="3"/>
        <v>193776.65816990301</v>
      </c>
      <c r="P41">
        <f t="shared" si="3"/>
        <v>222195.08459418701</v>
      </c>
      <c r="Q41">
        <f t="shared" si="3"/>
        <v>253526.73017378</v>
      </c>
      <c r="R41">
        <f t="shared" si="3"/>
        <v>287956.64512725698</v>
      </c>
      <c r="S41">
        <f t="shared" si="3"/>
        <v>321548.546948036</v>
      </c>
      <c r="T41">
        <f t="shared" si="3"/>
        <v>360454.03361651901</v>
      </c>
      <c r="U41">
        <f t="shared" si="3"/>
        <v>406587.05310769897</v>
      </c>
      <c r="V41">
        <f t="shared" si="3"/>
        <v>460669.301274025</v>
      </c>
      <c r="W41">
        <f t="shared" si="3"/>
        <v>523472.70188441902</v>
      </c>
      <c r="X41">
        <f t="shared" si="3"/>
        <v>597072.46096148796</v>
      </c>
      <c r="Y41">
        <f t="shared" si="3"/>
        <v>672734.20818841294</v>
      </c>
      <c r="Z41">
        <f t="shared" si="3"/>
        <v>751343.54103981098</v>
      </c>
      <c r="AA41">
        <f t="shared" si="3"/>
        <v>835166.00290596799</v>
      </c>
      <c r="AB41">
        <f t="shared" si="3"/>
        <v>925893.48149958905</v>
      </c>
    </row>
    <row r="42" spans="1:36" x14ac:dyDescent="0.2">
      <c r="B42" t="s">
        <v>28</v>
      </c>
      <c r="C42">
        <f>SUMIF($B$2:$B$36, "total_output", C$2:C$36)</f>
        <v>7947216.1966879899</v>
      </c>
      <c r="D42">
        <f t="shared" ref="D42:AB42" si="4">SUMIF($B$2:$B$36, "total_output", D$2:D$36)</f>
        <v>7970712.4824740905</v>
      </c>
      <c r="E42">
        <f t="shared" si="4"/>
        <v>8064001.2058219407</v>
      </c>
      <c r="F42">
        <f t="shared" si="4"/>
        <v>8150400.5236544209</v>
      </c>
      <c r="G42">
        <f t="shared" si="4"/>
        <v>8236993.4934259001</v>
      </c>
      <c r="H42">
        <f t="shared" si="4"/>
        <v>8370354.5713812094</v>
      </c>
      <c r="I42">
        <f t="shared" si="4"/>
        <v>8414169.210092051</v>
      </c>
      <c r="J42">
        <f t="shared" si="4"/>
        <v>8475318.8710214999</v>
      </c>
      <c r="K42">
        <f t="shared" si="4"/>
        <v>8529697.1418508478</v>
      </c>
      <c r="L42">
        <f t="shared" si="4"/>
        <v>8626667.0645952914</v>
      </c>
      <c r="M42">
        <f t="shared" si="4"/>
        <v>8734922.8464350067</v>
      </c>
      <c r="N42">
        <f t="shared" si="4"/>
        <v>8793999.8848299775</v>
      </c>
      <c r="O42">
        <f t="shared" si="4"/>
        <v>8831397.5285210107</v>
      </c>
      <c r="P42">
        <f t="shared" si="4"/>
        <v>8924775.5647236984</v>
      </c>
      <c r="Q42">
        <f t="shared" si="4"/>
        <v>8983942.6449223589</v>
      </c>
      <c r="R42">
        <f t="shared" si="4"/>
        <v>9051514.0518518705</v>
      </c>
      <c r="S42">
        <f t="shared" si="4"/>
        <v>9125651.7996340189</v>
      </c>
      <c r="T42">
        <f t="shared" si="4"/>
        <v>9209776.4222487006</v>
      </c>
      <c r="U42">
        <f t="shared" si="4"/>
        <v>9297548.9123425446</v>
      </c>
      <c r="V42">
        <f t="shared" si="4"/>
        <v>9405290.8099375423</v>
      </c>
      <c r="W42">
        <f t="shared" si="4"/>
        <v>9536104.5796137378</v>
      </c>
      <c r="X42">
        <f t="shared" si="4"/>
        <v>9646517.3147056121</v>
      </c>
      <c r="Y42">
        <f t="shared" si="4"/>
        <v>9766075.3897728082</v>
      </c>
      <c r="Z42">
        <f t="shared" si="4"/>
        <v>9899010.9716680255</v>
      </c>
      <c r="AA42">
        <f t="shared" si="4"/>
        <v>10009609.537206288</v>
      </c>
      <c r="AB42">
        <f t="shared" si="4"/>
        <v>10168539.421105055</v>
      </c>
      <c r="AC42">
        <f>AB42-AB22</f>
        <v>10192257.787375446</v>
      </c>
    </row>
    <row r="43" spans="1:36" x14ac:dyDescent="0.2">
      <c r="B43" t="s">
        <v>29</v>
      </c>
      <c r="C43">
        <f>-SUMIF($B$2:$B$36, "storage_net_load", C$2:C$36)</f>
        <v>0</v>
      </c>
      <c r="D43">
        <f t="shared" ref="D43:AB43" si="5">-SUMIF($B$2:$B$36, "storage_net_load", D$2:D$36)</f>
        <v>1.5672191553076401E-8</v>
      </c>
      <c r="E43">
        <f t="shared" si="5"/>
        <v>0</v>
      </c>
      <c r="F43">
        <f t="shared" si="5"/>
        <v>0</v>
      </c>
      <c r="G43">
        <f t="shared" si="5"/>
        <v>0</v>
      </c>
      <c r="H43">
        <f t="shared" si="5"/>
        <v>0</v>
      </c>
      <c r="I43">
        <f t="shared" si="5"/>
        <v>0</v>
      </c>
      <c r="J43">
        <f t="shared" si="5"/>
        <v>0</v>
      </c>
      <c r="K43">
        <f t="shared" si="5"/>
        <v>0</v>
      </c>
      <c r="L43">
        <f t="shared" si="5"/>
        <v>0</v>
      </c>
      <c r="M43">
        <f t="shared" si="5"/>
        <v>-2266.5539240969301</v>
      </c>
      <c r="N43">
        <f t="shared" si="5"/>
        <v>734.49106334725695</v>
      </c>
      <c r="O43">
        <f t="shared" si="5"/>
        <v>4444.7572723994199</v>
      </c>
      <c r="P43">
        <f t="shared" si="5"/>
        <v>5699.5422972543502</v>
      </c>
      <c r="Q43">
        <f t="shared" si="5"/>
        <v>7071.3805575172</v>
      </c>
      <c r="R43">
        <f t="shared" si="5"/>
        <v>8064.1331804931797</v>
      </c>
      <c r="S43">
        <f t="shared" si="5"/>
        <v>8083.1467412553602</v>
      </c>
      <c r="T43">
        <f t="shared" si="5"/>
        <v>5652.2290862106001</v>
      </c>
      <c r="U43">
        <f t="shared" si="5"/>
        <v>3912.9130764213301</v>
      </c>
      <c r="V43">
        <f t="shared" si="5"/>
        <v>2103.67726403499</v>
      </c>
      <c r="W43">
        <f t="shared" si="5"/>
        <v>-275.01917017784501</v>
      </c>
      <c r="X43">
        <f t="shared" si="5"/>
        <v>3031.0014530643998</v>
      </c>
      <c r="Y43">
        <f t="shared" si="5"/>
        <v>9132.3250069321493</v>
      </c>
      <c r="Z43">
        <f t="shared" si="5"/>
        <v>20705.8938364241</v>
      </c>
      <c r="AA43">
        <f t="shared" si="5"/>
        <v>32237.353382101301</v>
      </c>
      <c r="AB43">
        <f t="shared" si="5"/>
        <v>23718.366270390601</v>
      </c>
    </row>
    <row r="44" spans="1:36" x14ac:dyDescent="0.2">
      <c r="B44" t="s">
        <v>30</v>
      </c>
      <c r="C44">
        <f t="shared" ref="C44:AB44" si="6">SUMIF($B$2:$B$36, "storage_load", C$2:C$36)</f>
        <v>4925.7979654589899</v>
      </c>
      <c r="D44">
        <f t="shared" si="6"/>
        <v>10923.197744678298</v>
      </c>
      <c r="E44">
        <f t="shared" si="6"/>
        <v>33895.482771105999</v>
      </c>
      <c r="F44">
        <f t="shared" si="6"/>
        <v>49919.648487716469</v>
      </c>
      <c r="G44">
        <f t="shared" si="6"/>
        <v>64542.011298109224</v>
      </c>
      <c r="H44">
        <f t="shared" si="6"/>
        <v>82996.683377209934</v>
      </c>
      <c r="I44">
        <f t="shared" si="6"/>
        <v>92597.589788574405</v>
      </c>
      <c r="J44">
        <f t="shared" si="6"/>
        <v>117257.23097098491</v>
      </c>
      <c r="K44">
        <f t="shared" si="6"/>
        <v>134238.24381748089</v>
      </c>
      <c r="L44">
        <f t="shared" si="6"/>
        <v>150929.24381865709</v>
      </c>
      <c r="M44">
        <f t="shared" si="6"/>
        <v>162214.3769089721</v>
      </c>
      <c r="N44">
        <f t="shared" si="6"/>
        <v>169392.84024925</v>
      </c>
      <c r="O44">
        <f t="shared" si="6"/>
        <v>176429.99332946871</v>
      </c>
      <c r="P44">
        <f t="shared" si="6"/>
        <v>182538.56218564641</v>
      </c>
      <c r="Q44">
        <f t="shared" si="6"/>
        <v>189781.13472705791</v>
      </c>
      <c r="R44">
        <f t="shared" si="6"/>
        <v>197713.79116793489</v>
      </c>
      <c r="S44">
        <f t="shared" si="6"/>
        <v>200922.33592679002</v>
      </c>
      <c r="T44">
        <f t="shared" si="6"/>
        <v>204204.15968072088</v>
      </c>
      <c r="U44">
        <f t="shared" si="6"/>
        <v>207620.65470439379</v>
      </c>
      <c r="V44">
        <f t="shared" si="6"/>
        <v>210211.84645283769</v>
      </c>
      <c r="W44">
        <f t="shared" si="6"/>
        <v>213778.70350323941</v>
      </c>
      <c r="X44">
        <f t="shared" si="6"/>
        <v>235401.14952982659</v>
      </c>
      <c r="Y44">
        <f t="shared" si="6"/>
        <v>250592.41470862311</v>
      </c>
      <c r="Z44">
        <f t="shared" si="6"/>
        <v>265804.16919526353</v>
      </c>
      <c r="AA44">
        <f t="shared" si="6"/>
        <v>248499.13001675869</v>
      </c>
      <c r="AB44">
        <f t="shared" si="6"/>
        <v>265937.55791626842</v>
      </c>
    </row>
    <row r="45" spans="1:36" x14ac:dyDescent="0.2">
      <c r="B45" t="s">
        <v>23</v>
      </c>
      <c r="C45">
        <f>SUM(C40:C41)</f>
        <v>7942290.3987225397</v>
      </c>
      <c r="D45">
        <f t="shared" ref="D45:AB45" si="7">SUM(D40:D41)</f>
        <v>7959789.284729436</v>
      </c>
      <c r="E45">
        <f t="shared" si="7"/>
        <v>8030105.7230508486</v>
      </c>
      <c r="F45">
        <f t="shared" si="7"/>
        <v>8100480.8751667049</v>
      </c>
      <c r="G45">
        <f t="shared" si="7"/>
        <v>8172451.4821278099</v>
      </c>
      <c r="H45">
        <f t="shared" si="7"/>
        <v>8287357.8880040059</v>
      </c>
      <c r="I45">
        <f t="shared" si="7"/>
        <v>8321571.6203034818</v>
      </c>
      <c r="J45">
        <f t="shared" si="7"/>
        <v>8358061.6400505351</v>
      </c>
      <c r="K45">
        <f t="shared" si="7"/>
        <v>8395458.8980333749</v>
      </c>
      <c r="L45">
        <f t="shared" si="7"/>
        <v>8475737.8207766339</v>
      </c>
      <c r="M45">
        <f t="shared" si="7"/>
        <v>8570441.9156019408</v>
      </c>
      <c r="N45">
        <f t="shared" si="7"/>
        <v>8625341.5356440749</v>
      </c>
      <c r="O45">
        <f t="shared" si="7"/>
        <v>8659412.2924639322</v>
      </c>
      <c r="P45">
        <f t="shared" si="7"/>
        <v>8747936.544835316</v>
      </c>
      <c r="Q45">
        <f t="shared" si="7"/>
        <v>8801232.8907528203</v>
      </c>
      <c r="R45">
        <f t="shared" si="7"/>
        <v>8861864.3938644268</v>
      </c>
      <c r="S45">
        <f t="shared" si="7"/>
        <v>8932812.6104485057</v>
      </c>
      <c r="T45">
        <f t="shared" si="7"/>
        <v>9011224.4916541893</v>
      </c>
      <c r="U45">
        <f t="shared" si="7"/>
        <v>9093841.1707145702</v>
      </c>
      <c r="V45">
        <f t="shared" si="7"/>
        <v>9197182.6407487467</v>
      </c>
      <c r="W45">
        <f t="shared" si="7"/>
        <v>9322050.8569403179</v>
      </c>
      <c r="X45">
        <f t="shared" si="7"/>
        <v>9414147.1666288581</v>
      </c>
      <c r="Y45">
        <f t="shared" si="7"/>
        <v>9524615.3000711128</v>
      </c>
      <c r="Z45">
        <f t="shared" si="7"/>
        <v>9653912.6963091921</v>
      </c>
      <c r="AA45">
        <f t="shared" si="7"/>
        <v>9793347.7605716288</v>
      </c>
      <c r="AB45">
        <f t="shared" si="7"/>
        <v>9926320.2294591703</v>
      </c>
    </row>
    <row r="46" spans="1:36" x14ac:dyDescent="0.2">
      <c r="B46" t="s">
        <v>24</v>
      </c>
      <c r="C46">
        <f>C42+C43</f>
        <v>7947216.1966879899</v>
      </c>
      <c r="D46">
        <f t="shared" ref="D46:AB46" si="8">D42+D43</f>
        <v>7970712.4824741064</v>
      </c>
      <c r="E46">
        <f t="shared" si="8"/>
        <v>8064001.2058219407</v>
      </c>
      <c r="F46">
        <f t="shared" si="8"/>
        <v>8150400.5236544209</v>
      </c>
      <c r="G46">
        <f t="shared" si="8"/>
        <v>8236993.4934259001</v>
      </c>
      <c r="H46">
        <f t="shared" si="8"/>
        <v>8370354.5713812094</v>
      </c>
      <c r="I46">
        <f t="shared" si="8"/>
        <v>8414169.210092051</v>
      </c>
      <c r="J46">
        <f t="shared" si="8"/>
        <v>8475318.8710214999</v>
      </c>
      <c r="K46">
        <f t="shared" si="8"/>
        <v>8529697.1418508478</v>
      </c>
      <c r="L46">
        <f t="shared" si="8"/>
        <v>8626667.0645952914</v>
      </c>
      <c r="M46">
        <f t="shared" si="8"/>
        <v>8732656.29251091</v>
      </c>
      <c r="N46">
        <f t="shared" si="8"/>
        <v>8794734.3758933246</v>
      </c>
      <c r="O46">
        <f t="shared" si="8"/>
        <v>8835842.2857934106</v>
      </c>
      <c r="P46">
        <f t="shared" si="8"/>
        <v>8930475.1070209537</v>
      </c>
      <c r="Q46">
        <f t="shared" si="8"/>
        <v>8991014.0254798755</v>
      </c>
      <c r="R46">
        <f t="shared" si="8"/>
        <v>9059578.185032364</v>
      </c>
      <c r="S46">
        <f t="shared" si="8"/>
        <v>9133734.946375275</v>
      </c>
      <c r="T46">
        <f t="shared" si="8"/>
        <v>9215428.6513349116</v>
      </c>
      <c r="U46">
        <f t="shared" si="8"/>
        <v>9301461.8254189659</v>
      </c>
      <c r="V46">
        <f t="shared" si="8"/>
        <v>9407394.4872015771</v>
      </c>
      <c r="W46">
        <f t="shared" si="8"/>
        <v>9535829.5604435597</v>
      </c>
      <c r="X46">
        <f t="shared" si="8"/>
        <v>9649548.3161586765</v>
      </c>
      <c r="Y46">
        <f t="shared" si="8"/>
        <v>9775207.7147797402</v>
      </c>
      <c r="Z46">
        <f t="shared" si="8"/>
        <v>9919716.8655044492</v>
      </c>
      <c r="AA46">
        <f t="shared" si="8"/>
        <v>10041846.89058839</v>
      </c>
      <c r="AB46">
        <f t="shared" si="8"/>
        <v>10192257.787375446</v>
      </c>
    </row>
    <row r="47" spans="1:36" x14ac:dyDescent="0.2">
      <c r="AA47" t="s">
        <v>42</v>
      </c>
    </row>
    <row r="48" spans="1:36" x14ac:dyDescent="0.2">
      <c r="B48" t="str" cm="1">
        <f t="array" ref="B48:J74">TRANSPOSE($B$38:$AB$46)</f>
        <v/>
      </c>
      <c r="C48" t="str">
        <v>DGPV</v>
      </c>
      <c r="D48" t="str">
        <v>gross load</v>
      </c>
      <c r="E48" t="str">
        <v>ev load</v>
      </c>
      <c r="F48" t="str">
        <v>non-storage production</v>
      </c>
      <c r="G48" t="str">
        <v>hydro net production</v>
      </c>
      <c r="H48" t="str">
        <v>storage load</v>
      </c>
      <c r="I48" t="str">
        <v>total load</v>
      </c>
      <c r="J48" t="str">
        <v>total production</v>
      </c>
      <c r="L48" t="s">
        <v>36</v>
      </c>
      <c r="M48" t="s">
        <v>37</v>
      </c>
      <c r="N48" t="s">
        <v>39</v>
      </c>
      <c r="O48" t="s">
        <v>40</v>
      </c>
      <c r="S48" t="s">
        <v>47</v>
      </c>
      <c r="T48" t="s">
        <v>48</v>
      </c>
      <c r="U48" t="s">
        <v>32</v>
      </c>
      <c r="V48" t="s">
        <v>33</v>
      </c>
      <c r="X48" t="s">
        <v>50</v>
      </c>
      <c r="Y48" t="s">
        <v>43</v>
      </c>
      <c r="Z48" t="s">
        <v>44</v>
      </c>
      <c r="AA48" t="s">
        <v>45</v>
      </c>
      <c r="AB48" t="s">
        <v>51</v>
      </c>
      <c r="AD48" t="s">
        <v>46</v>
      </c>
      <c r="AE48" t="s">
        <v>52</v>
      </c>
      <c r="AF48" t="s">
        <v>54</v>
      </c>
      <c r="AG48" t="s">
        <v>53</v>
      </c>
      <c r="AI48" t="s">
        <v>41</v>
      </c>
      <c r="AJ48" t="s">
        <v>34</v>
      </c>
    </row>
    <row r="49" spans="2:36" x14ac:dyDescent="0.2">
      <c r="B49">
        <v>2020</v>
      </c>
      <c r="C49" s="2">
        <v>1166153.6553163501</v>
      </c>
      <c r="D49" s="2">
        <v>7917644.3531826697</v>
      </c>
      <c r="E49" s="2">
        <v>24646.045539869901</v>
      </c>
      <c r="F49" s="2">
        <v>7947216.1966879899</v>
      </c>
      <c r="G49" s="2">
        <v>0</v>
      </c>
      <c r="H49" s="2">
        <v>4925.7979654589899</v>
      </c>
      <c r="I49" s="2">
        <v>7942290.3987225397</v>
      </c>
      <c r="J49">
        <v>7947216.1966879899</v>
      </c>
      <c r="L49">
        <v>7878.6551924839996</v>
      </c>
      <c r="M49">
        <f>D49/1000/L49</f>
        <v>1.00494870758348</v>
      </c>
      <c r="N49" s="5" cm="1">
        <f t="array" ref="N49:N74">_xlfn.ANCHORARRAY(S49)+_xlfn.ANCHORARRAY(T49)</f>
        <v>7373.8000000000011</v>
      </c>
      <c r="O49">
        <f>L49/N49</f>
        <v>1.068466081597548</v>
      </c>
      <c r="P49" t="s">
        <v>49</v>
      </c>
      <c r="R49">
        <f t="shared" ref="R49:R74" si="9">D49/1000/SUM(S49:T49)</f>
        <v>1.0737536077982408</v>
      </c>
      <c r="S49" s="6" cm="1">
        <f t="array" ref="S49:S74">'[1]Slide 18 by layers'!$C$41:$C$66</f>
        <v>8769.7000000000007</v>
      </c>
      <c r="T49" s="6" cm="1">
        <f t="array" ref="T49:T74">'[1]Slide 18 by layers'!$E$41:$E$66</f>
        <v>-1395.9</v>
      </c>
      <c r="X49" s="5">
        <v>7866</v>
      </c>
      <c r="Y49">
        <f>SUM(D49)/1000</f>
        <v>7917.6443531826699</v>
      </c>
      <c r="Z49" s="6">
        <f>SUM($D49,$E49)/1000</f>
        <v>7942.29039872254</v>
      </c>
      <c r="AA49" s="6">
        <f>SUM($D49,$E49,$H49)/1000</f>
        <v>7947.2161966879985</v>
      </c>
      <c r="AB49" s="6">
        <f>SUM($D49,$E49,$H49,-$C49)/1000</f>
        <v>6781.062541371648</v>
      </c>
      <c r="AC49" s="6"/>
      <c r="AD49" s="6">
        <f>SUM(S49:T49)</f>
        <v>7373.8000000000011</v>
      </c>
      <c r="AE49" s="6">
        <f>SUM('[1]Slide 18 by layers'!$C41:D41)</f>
        <v>7833.2000000000007</v>
      </c>
      <c r="AF49" s="6">
        <f>SUM('[1]Slide 18 by layers'!$C41:E41)</f>
        <v>6437.3000000000011</v>
      </c>
      <c r="AG49" s="6">
        <f>SUM('[1]Slide 18 by layers'!$C41:G41)</f>
        <v>6467.3000000000011</v>
      </c>
      <c r="AH49" s="6"/>
      <c r="AI49">
        <f>SUM(S49:T49)+E49/1000</f>
        <v>7398.4460455398712</v>
      </c>
      <c r="AJ49">
        <f>Y49/AI49</f>
        <v>1.0701766701341013</v>
      </c>
    </row>
    <row r="50" spans="2:36" x14ac:dyDescent="0.2">
      <c r="B50">
        <v>2021</v>
      </c>
      <c r="C50" s="2">
        <v>1218319.81506341</v>
      </c>
      <c r="D50" s="2">
        <v>7929797.9314472498</v>
      </c>
      <c r="E50" s="2">
        <v>29991.353282186501</v>
      </c>
      <c r="F50" s="2">
        <v>7970712.4824740905</v>
      </c>
      <c r="G50" s="2">
        <v>1.5672191553076401E-8</v>
      </c>
      <c r="H50" s="2">
        <v>10923.197744678298</v>
      </c>
      <c r="I50" s="2">
        <v>7959789.284729436</v>
      </c>
      <c r="J50">
        <v>7970712.4824741064</v>
      </c>
      <c r="L50">
        <v>7890.2765906865798</v>
      </c>
      <c r="M50">
        <f t="shared" ref="M50:M74" si="10">D50/1000/L50</f>
        <v>1.0050088663314185</v>
      </c>
      <c r="N50">
        <v>7364.5000000000018</v>
      </c>
      <c r="O50">
        <f t="shared" ref="O50:O74" si="11">L50/N50</f>
        <v>1.0713933859306914</v>
      </c>
      <c r="R50">
        <f t="shared" si="9"/>
        <v>1.0767598521891844</v>
      </c>
      <c r="S50" s="6">
        <v>8873.9000000000015</v>
      </c>
      <c r="T50" s="6">
        <v>-1509.4</v>
      </c>
      <c r="X50" s="5">
        <v>7898</v>
      </c>
      <c r="Y50">
        <f t="shared" ref="Y50:Y74" si="12">SUM(D50)/1000</f>
        <v>7929.7979314472495</v>
      </c>
      <c r="Z50" s="6">
        <f t="shared" ref="Z50:Z74" si="13">SUM($D50,$E50)/1000</f>
        <v>7959.7892847294361</v>
      </c>
      <c r="AA50" s="6">
        <f t="shared" ref="AA50:AA74" si="14">SUM($D50,$E50,$H50)/1000</f>
        <v>7970.7124824741149</v>
      </c>
      <c r="AB50" s="6">
        <f t="shared" ref="AB50:AB74" si="15">SUM($D50,$E50,$H50,-$C50)/1000</f>
        <v>6752.3926674107051</v>
      </c>
      <c r="AC50" s="6"/>
      <c r="AD50" s="6">
        <f>SUM(S50:T50)</f>
        <v>7364.5000000000018</v>
      </c>
      <c r="AE50" s="6">
        <f>SUM('[1]Slide 18 by layers'!$C42:D42)</f>
        <v>7887.8000000000011</v>
      </c>
      <c r="AF50" s="6">
        <f>SUM('[1]Slide 18 by layers'!$C42:E42)</f>
        <v>6378.4000000000015</v>
      </c>
      <c r="AG50" s="6">
        <f>SUM('[1]Slide 18 by layers'!$C42:G42)</f>
        <v>6416.300000000002</v>
      </c>
      <c r="AH50" s="6"/>
      <c r="AI50">
        <f>SUM(S50:T50)+E50/1000</f>
        <v>7394.4913532821884</v>
      </c>
      <c r="AJ50">
        <f>Y50/AI50</f>
        <v>1.0723926166912692</v>
      </c>
    </row>
    <row r="51" spans="2:36" x14ac:dyDescent="0.2">
      <c r="B51">
        <v>2022</v>
      </c>
      <c r="C51" s="2">
        <v>1258606.62891463</v>
      </c>
      <c r="D51" s="2">
        <v>7993671.9785876404</v>
      </c>
      <c r="E51" s="2">
        <v>36433.744463208001</v>
      </c>
      <c r="F51" s="2">
        <v>8064001.2058219407</v>
      </c>
      <c r="G51" s="2">
        <v>0</v>
      </c>
      <c r="H51" s="2">
        <v>33895.482771105999</v>
      </c>
      <c r="I51" s="2">
        <v>8030105.7230508486</v>
      </c>
      <c r="J51">
        <v>8064001.2058219407</v>
      </c>
      <c r="L51">
        <v>7954.3459151652296</v>
      </c>
      <c r="M51">
        <f t="shared" si="10"/>
        <v>1.0049439719923965</v>
      </c>
      <c r="N51">
        <v>7424.2999999999975</v>
      </c>
      <c r="O51">
        <f t="shared" si="11"/>
        <v>1.0713933859306914</v>
      </c>
      <c r="R51">
        <f t="shared" si="9"/>
        <v>1.0766903248235717</v>
      </c>
      <c r="S51" s="6">
        <v>9037.4999999999982</v>
      </c>
      <c r="T51" s="6">
        <v>-1613.2000000000003</v>
      </c>
      <c r="X51" s="5">
        <v>8043</v>
      </c>
      <c r="Y51">
        <f t="shared" si="12"/>
        <v>7993.6719785876403</v>
      </c>
      <c r="Z51" s="6">
        <f t="shared" si="13"/>
        <v>8030.1057230508486</v>
      </c>
      <c r="AA51" s="6">
        <f t="shared" si="14"/>
        <v>8064.0012058219545</v>
      </c>
      <c r="AB51" s="6">
        <f t="shared" si="15"/>
        <v>6805.3945769073243</v>
      </c>
      <c r="AC51" s="6"/>
      <c r="AD51" s="6">
        <f>SUM(S51:T51)</f>
        <v>7424.2999999999975</v>
      </c>
      <c r="AE51" s="6">
        <f>SUM('[1]Slide 18 by layers'!$C43:D43)</f>
        <v>7994.699999999998</v>
      </c>
      <c r="AF51" s="6">
        <f>SUM('[1]Slide 18 by layers'!$C43:E43)</f>
        <v>6381.4999999999982</v>
      </c>
      <c r="AG51" s="6">
        <f>SUM('[1]Slide 18 by layers'!$C43:G43)</f>
        <v>6430.8999999999987</v>
      </c>
      <c r="AH51" s="6"/>
      <c r="AI51">
        <f>SUM(S51:T51)+E51/1000</f>
        <v>7460.7337444632058</v>
      </c>
      <c r="AJ51">
        <f>Y51/AI51</f>
        <v>1.0714324156816266</v>
      </c>
    </row>
    <row r="52" spans="2:36" x14ac:dyDescent="0.2">
      <c r="B52">
        <v>2023</v>
      </c>
      <c r="C52" s="2">
        <v>1292570.41512633</v>
      </c>
      <c r="D52" s="2">
        <v>8056386.0516544199</v>
      </c>
      <c r="E52" s="2">
        <v>44094.823512284798</v>
      </c>
      <c r="F52" s="2">
        <v>8150400.5236544209</v>
      </c>
      <c r="G52" s="2">
        <v>0</v>
      </c>
      <c r="H52" s="2">
        <v>49919.648487716469</v>
      </c>
      <c r="I52" s="2">
        <v>8100480.8751667049</v>
      </c>
      <c r="J52">
        <v>8150400.5236544209</v>
      </c>
      <c r="L52">
        <v>8017.0224282421796</v>
      </c>
      <c r="M52">
        <f t="shared" si="10"/>
        <v>1.0049100053997069</v>
      </c>
      <c r="N52">
        <v>7482.800000000002</v>
      </c>
      <c r="O52">
        <f t="shared" si="11"/>
        <v>1.0713933859306914</v>
      </c>
      <c r="R52">
        <f t="shared" si="9"/>
        <v>1.0766539332408214</v>
      </c>
      <c r="S52" s="6">
        <v>9185.6000000000022</v>
      </c>
      <c r="T52" s="6">
        <v>-1702.8000000000002</v>
      </c>
      <c r="X52" s="5">
        <v>8053</v>
      </c>
      <c r="Y52">
        <f t="shared" si="12"/>
        <v>8056.38605165442</v>
      </c>
      <c r="Z52" s="6">
        <f t="shared" si="13"/>
        <v>8100.4808751667051</v>
      </c>
      <c r="AA52" s="6">
        <f t="shared" si="14"/>
        <v>8150.4005236544217</v>
      </c>
      <c r="AB52" s="6">
        <f t="shared" si="15"/>
        <v>6857.8301085280918</v>
      </c>
      <c r="AC52" s="6"/>
      <c r="AD52" s="6">
        <f>SUM(S52:T52)</f>
        <v>7482.800000000002</v>
      </c>
      <c r="AE52" s="6">
        <f>SUM('[1]Slide 18 by layers'!$C44:D44)</f>
        <v>8099.7000000000025</v>
      </c>
      <c r="AF52" s="6">
        <f>SUM('[1]Slide 18 by layers'!$C44:E44)</f>
        <v>6396.9000000000024</v>
      </c>
      <c r="AG52" s="6">
        <f>SUM('[1]Slide 18 by layers'!$C44:G44)</f>
        <v>6457.800000000002</v>
      </c>
      <c r="AH52" s="6"/>
      <c r="AI52">
        <f>SUM(S52:T52)+E52/1000</f>
        <v>7526.8948235122871</v>
      </c>
      <c r="AJ52">
        <f>Y52/AI52</f>
        <v>1.0703465692768981</v>
      </c>
    </row>
    <row r="53" spans="2:36" x14ac:dyDescent="0.2">
      <c r="B53">
        <v>2024</v>
      </c>
      <c r="C53" s="2">
        <v>1333382.3476942901</v>
      </c>
      <c r="D53" s="2">
        <v>8119299.7722034696</v>
      </c>
      <c r="E53" s="2">
        <v>53151.709924340299</v>
      </c>
      <c r="F53" s="2">
        <v>8236993.4934259001</v>
      </c>
      <c r="G53" s="2">
        <v>0</v>
      </c>
      <c r="H53" s="2">
        <v>64542.011298109224</v>
      </c>
      <c r="I53" s="2">
        <v>8172451.4821278099</v>
      </c>
      <c r="J53">
        <v>8236993.4934259001</v>
      </c>
      <c r="L53">
        <v>8080.1678954732997</v>
      </c>
      <c r="M53">
        <f t="shared" si="10"/>
        <v>1.0048429534183432</v>
      </c>
      <c r="N53">
        <v>7562.4</v>
      </c>
      <c r="O53">
        <f t="shared" si="11"/>
        <v>1.0684660815975484</v>
      </c>
      <c r="P53" t="s">
        <v>49</v>
      </c>
      <c r="R53">
        <f t="shared" si="9"/>
        <v>1.0736406130598051</v>
      </c>
      <c r="S53" s="6">
        <v>9355.7999999999993</v>
      </c>
      <c r="T53" s="6">
        <v>-1793.4</v>
      </c>
      <c r="X53" s="5">
        <v>8093</v>
      </c>
      <c r="Y53">
        <f t="shared" si="12"/>
        <v>8119.2997722034697</v>
      </c>
      <c r="Z53" s="6">
        <f t="shared" si="13"/>
        <v>8172.4514821278099</v>
      </c>
      <c r="AA53" s="6">
        <f t="shared" si="14"/>
        <v>8236.9934934259181</v>
      </c>
      <c r="AB53" s="6">
        <f t="shared" si="15"/>
        <v>6903.6111457316292</v>
      </c>
      <c r="AC53" s="6"/>
      <c r="AD53" s="6">
        <f>SUM(S53:T53)</f>
        <v>7562.4</v>
      </c>
      <c r="AE53" s="6">
        <f>SUM('[1]Slide 18 by layers'!$C45:D45)</f>
        <v>8240.5999999999985</v>
      </c>
      <c r="AF53" s="6">
        <f>SUM('[1]Slide 18 by layers'!$C45:E45)</f>
        <v>6447.1999999999989</v>
      </c>
      <c r="AG53" s="6">
        <f>SUM('[1]Slide 18 by layers'!$C45:G45)</f>
        <v>6522.3999999999987</v>
      </c>
      <c r="AH53" s="6"/>
      <c r="AI53">
        <f>SUM(S53:T53)+E53/1000</f>
        <v>7615.5517099243398</v>
      </c>
      <c r="AJ53">
        <f>Y53/AI53</f>
        <v>1.0661472840664534</v>
      </c>
    </row>
    <row r="54" spans="2:36" x14ac:dyDescent="0.2">
      <c r="B54">
        <v>2025</v>
      </c>
      <c r="C54" s="2">
        <v>1376377.44553802</v>
      </c>
      <c r="D54" s="2">
        <v>8223605.4441297697</v>
      </c>
      <c r="E54" s="2">
        <v>63752.443874236204</v>
      </c>
      <c r="F54" s="2">
        <v>8370354.5713812094</v>
      </c>
      <c r="G54" s="2">
        <v>0</v>
      </c>
      <c r="H54" s="2">
        <v>82996.683377209934</v>
      </c>
      <c r="I54" s="2">
        <v>8287357.8880040059</v>
      </c>
      <c r="J54">
        <v>8370354.5713812094</v>
      </c>
      <c r="L54">
        <v>8182.9812637228397</v>
      </c>
      <c r="M54">
        <f t="shared" si="10"/>
        <v>1.0049644718834965</v>
      </c>
      <c r="N54">
        <v>7637.6999999999989</v>
      </c>
      <c r="O54">
        <f t="shared" si="11"/>
        <v>1.0713933859306912</v>
      </c>
      <c r="R54">
        <f t="shared" si="9"/>
        <v>1.0767122882713083</v>
      </c>
      <c r="S54" s="6">
        <v>9524.4</v>
      </c>
      <c r="T54" s="6">
        <v>-1886.7000000000003</v>
      </c>
      <c r="X54" s="5">
        <v>8086</v>
      </c>
      <c r="Y54">
        <f t="shared" si="12"/>
        <v>8223.6054441297692</v>
      </c>
      <c r="Z54" s="6">
        <f t="shared" si="13"/>
        <v>8287.3578880040059</v>
      </c>
      <c r="AA54" s="6">
        <f t="shared" si="14"/>
        <v>8370.3545713812164</v>
      </c>
      <c r="AB54" s="6">
        <f t="shared" si="15"/>
        <v>6993.9771258431965</v>
      </c>
      <c r="AC54" s="6"/>
      <c r="AD54" s="6">
        <f>SUM(S54:T54)</f>
        <v>7637.6999999999989</v>
      </c>
      <c r="AE54" s="6">
        <f>SUM('[1]Slide 18 by layers'!$C46:D46)</f>
        <v>8383.6999999999989</v>
      </c>
      <c r="AF54" s="6">
        <f>SUM('[1]Slide 18 by layers'!$C46:E46)</f>
        <v>6496.9999999999982</v>
      </c>
      <c r="AG54" s="6">
        <f>SUM('[1]Slide 18 by layers'!$C46:G46)</f>
        <v>6589.0999999999985</v>
      </c>
      <c r="AH54" s="6"/>
      <c r="AI54">
        <f>SUM(S54:T54)+E54/1000</f>
        <v>7701.4524438742355</v>
      </c>
      <c r="AJ54">
        <f>Y54/AI54</f>
        <v>1.0677992890381161</v>
      </c>
    </row>
    <row r="55" spans="2:36" x14ac:dyDescent="0.2">
      <c r="B55">
        <v>2026</v>
      </c>
      <c r="C55" s="2">
        <v>1422140.8323063101</v>
      </c>
      <c r="D55" s="2">
        <v>8245552.9905121597</v>
      </c>
      <c r="E55" s="2">
        <v>76018.629791322601</v>
      </c>
      <c r="F55" s="2">
        <v>8414169.210092051</v>
      </c>
      <c r="G55" s="2">
        <v>0</v>
      </c>
      <c r="H55" s="2">
        <v>92597.589788574405</v>
      </c>
      <c r="I55" s="2">
        <v>8321571.6203034818</v>
      </c>
      <c r="J55">
        <v>8414169.210092051</v>
      </c>
      <c r="L55">
        <v>8204.8376887958293</v>
      </c>
      <c r="M55">
        <f t="shared" si="10"/>
        <v>1.0049623530971161</v>
      </c>
      <c r="N55">
        <v>7658.1</v>
      </c>
      <c r="O55">
        <f t="shared" si="11"/>
        <v>1.0713933859306914</v>
      </c>
      <c r="R55">
        <f t="shared" si="9"/>
        <v>1.0767100182175944</v>
      </c>
      <c r="S55" s="6">
        <v>9638.2000000000007</v>
      </c>
      <c r="T55" s="6">
        <v>-1980.1000000000004</v>
      </c>
      <c r="X55" s="5">
        <v>8040</v>
      </c>
      <c r="Y55">
        <f t="shared" si="12"/>
        <v>8245.5529905121602</v>
      </c>
      <c r="Z55" s="6">
        <f t="shared" si="13"/>
        <v>8321.5716203034826</v>
      </c>
      <c r="AA55" s="6">
        <f t="shared" si="14"/>
        <v>8414.1692100920573</v>
      </c>
      <c r="AB55" s="6">
        <f t="shared" si="15"/>
        <v>6992.0283777857458</v>
      </c>
      <c r="AC55" s="6"/>
      <c r="AD55" s="6">
        <f>SUM(S55:T55)</f>
        <v>7658.1</v>
      </c>
      <c r="AE55" s="6">
        <f>SUM('[1]Slide 18 by layers'!$C47:D47)</f>
        <v>8468</v>
      </c>
      <c r="AF55" s="6">
        <f>SUM('[1]Slide 18 by layers'!$C47:E47)</f>
        <v>6487.9</v>
      </c>
      <c r="AG55" s="6">
        <f>SUM('[1]Slide 18 by layers'!$C47:G47)</f>
        <v>6599.3</v>
      </c>
      <c r="AH55" s="6"/>
      <c r="AI55">
        <f>SUM(S55:T55)+E55/1000</f>
        <v>7734.1186297913227</v>
      </c>
      <c r="AJ55">
        <f>Y55/AI55</f>
        <v>1.0661270385420294</v>
      </c>
    </row>
    <row r="56" spans="2:36" x14ac:dyDescent="0.2">
      <c r="B56">
        <v>2027</v>
      </c>
      <c r="C56" s="2">
        <v>1432226.26183005</v>
      </c>
      <c r="D56" s="2">
        <v>8267952.7579018697</v>
      </c>
      <c r="E56" s="2">
        <v>90108.882148665507</v>
      </c>
      <c r="F56" s="2">
        <v>8475318.8710214999</v>
      </c>
      <c r="G56" s="2">
        <v>0</v>
      </c>
      <c r="H56" s="2">
        <v>117257.23097098491</v>
      </c>
      <c r="I56" s="2">
        <v>8358061.6400505351</v>
      </c>
      <c r="J56">
        <v>8475318.8710214999</v>
      </c>
      <c r="L56">
        <v>8226.6941138688198</v>
      </c>
      <c r="M56">
        <f t="shared" si="10"/>
        <v>1.0050152155242402</v>
      </c>
      <c r="N56">
        <v>7678.5000000000018</v>
      </c>
      <c r="O56">
        <f t="shared" si="11"/>
        <v>1.0713933859306919</v>
      </c>
      <c r="R56">
        <f t="shared" si="9"/>
        <v>1.0767666546723798</v>
      </c>
      <c r="S56" s="6">
        <v>9745.4000000000015</v>
      </c>
      <c r="T56" s="6">
        <v>-2066.9</v>
      </c>
      <c r="X56" s="5">
        <v>7972</v>
      </c>
      <c r="Y56">
        <f t="shared" si="12"/>
        <v>8267.9527579018704</v>
      </c>
      <c r="Z56" s="6">
        <f t="shared" si="13"/>
        <v>8358.0616400505351</v>
      </c>
      <c r="AA56" s="6">
        <f t="shared" si="14"/>
        <v>8475.31887102152</v>
      </c>
      <c r="AB56" s="6">
        <f t="shared" si="15"/>
        <v>7043.0926091914698</v>
      </c>
      <c r="AC56" s="6"/>
      <c r="AD56" s="6">
        <f>SUM(S56:T56)</f>
        <v>7678.5000000000018</v>
      </c>
      <c r="AE56" s="6">
        <f>SUM('[1]Slide 18 by layers'!$C48:D48)</f>
        <v>8545.1000000000022</v>
      </c>
      <c r="AF56" s="6">
        <f>SUM('[1]Slide 18 by layers'!$C48:E48)</f>
        <v>6478.2000000000025</v>
      </c>
      <c r="AG56" s="6">
        <f>SUM('[1]Slide 18 by layers'!$C48:G48)</f>
        <v>6611.7000000000025</v>
      </c>
      <c r="AH56" s="6"/>
      <c r="AI56">
        <f>SUM(S56:T56)+E56/1000</f>
        <v>7768.6088821486674</v>
      </c>
      <c r="AJ56">
        <f>Y56/AI56</f>
        <v>1.0642771290624033</v>
      </c>
    </row>
    <row r="57" spans="2:36" x14ac:dyDescent="0.2">
      <c r="B57">
        <v>2028</v>
      </c>
      <c r="C57" s="2">
        <v>1400249.7105695</v>
      </c>
      <c r="D57" s="2">
        <v>8289242.7161448803</v>
      </c>
      <c r="E57" s="2">
        <v>106216.181888494</v>
      </c>
      <c r="F57" s="2">
        <v>8529697.1418508478</v>
      </c>
      <c r="G57" s="2">
        <v>0</v>
      </c>
      <c r="H57" s="2">
        <v>134238.24381748089</v>
      </c>
      <c r="I57" s="2">
        <v>8395458.8980333749</v>
      </c>
      <c r="J57">
        <v>8529697.1418508478</v>
      </c>
      <c r="L57">
        <v>8248.8786897575501</v>
      </c>
      <c r="M57">
        <f t="shared" si="10"/>
        <v>1.0048932743352679</v>
      </c>
      <c r="N57">
        <v>7720.2999999999993</v>
      </c>
      <c r="O57">
        <f t="shared" si="11"/>
        <v>1.0684660815975482</v>
      </c>
      <c r="R57">
        <f t="shared" si="9"/>
        <v>1.0736943792527338</v>
      </c>
      <c r="S57" s="6">
        <v>9873.4</v>
      </c>
      <c r="T57" s="6">
        <v>-2153.1000000000004</v>
      </c>
      <c r="X57" s="5">
        <v>7939</v>
      </c>
      <c r="Y57">
        <f t="shared" si="12"/>
        <v>8289.2427161448795</v>
      </c>
      <c r="Z57" s="6">
        <f t="shared" si="13"/>
        <v>8395.4588980333756</v>
      </c>
      <c r="AA57" s="6">
        <f t="shared" si="14"/>
        <v>8529.6971418508547</v>
      </c>
      <c r="AB57" s="6">
        <f t="shared" si="15"/>
        <v>7129.4474312813554</v>
      </c>
      <c r="AC57" s="6"/>
      <c r="AD57" s="6">
        <f>SUM(S57:T57)</f>
        <v>7720.2999999999993</v>
      </c>
      <c r="AE57" s="6">
        <f>SUM('[1]Slide 18 by layers'!$C49:D49)</f>
        <v>8639.7000000000007</v>
      </c>
      <c r="AF57" s="6">
        <f>SUM('[1]Slide 18 by layers'!$C49:E49)</f>
        <v>6486.6</v>
      </c>
      <c r="AG57" s="6">
        <f>SUM('[1]Slide 18 by layers'!$C49:G49)</f>
        <v>6645.4000000000005</v>
      </c>
      <c r="AH57" s="6"/>
      <c r="AI57">
        <f>SUM(S57:T57)+E57/1000</f>
        <v>7826.5161818884935</v>
      </c>
      <c r="AJ57">
        <f>Y57/AI57</f>
        <v>1.0591229256418317</v>
      </c>
    </row>
    <row r="58" spans="2:36" x14ac:dyDescent="0.2">
      <c r="B58">
        <v>2029</v>
      </c>
      <c r="C58" s="2">
        <v>1317262.42575679</v>
      </c>
      <c r="D58" s="2">
        <v>8351243.9644418601</v>
      </c>
      <c r="E58" s="2">
        <v>124493.856334774</v>
      </c>
      <c r="F58" s="2">
        <v>8626667.0645952914</v>
      </c>
      <c r="G58" s="2">
        <v>0</v>
      </c>
      <c r="H58" s="2">
        <v>150929.24381865709</v>
      </c>
      <c r="I58" s="2">
        <v>8475737.8207766339</v>
      </c>
      <c r="J58">
        <v>8626667.0645952914</v>
      </c>
      <c r="L58">
        <v>8310.4770766485908</v>
      </c>
      <c r="M58">
        <f t="shared" si="10"/>
        <v>1.0049054810472697</v>
      </c>
      <c r="N58">
        <v>7756.6999999999971</v>
      </c>
      <c r="O58">
        <f t="shared" si="11"/>
        <v>1.0713933859306914</v>
      </c>
      <c r="R58">
        <f t="shared" si="9"/>
        <v>1.0766490858795446</v>
      </c>
      <c r="S58" s="6">
        <v>9988.3999999999978</v>
      </c>
      <c r="T58" s="6">
        <v>-2231.7000000000003</v>
      </c>
      <c r="X58" s="5">
        <v>7858</v>
      </c>
      <c r="Y58">
        <f t="shared" si="12"/>
        <v>8351.243964441861</v>
      </c>
      <c r="Z58" s="6">
        <f t="shared" si="13"/>
        <v>8475.7378207766342</v>
      </c>
      <c r="AA58" s="6">
        <f t="shared" si="14"/>
        <v>8626.6670645952909</v>
      </c>
      <c r="AB58" s="6">
        <f t="shared" si="15"/>
        <v>7309.4046388385013</v>
      </c>
      <c r="AC58" s="6"/>
      <c r="AD58" s="6">
        <f>SUM(S58:T58)</f>
        <v>7756.6999999999971</v>
      </c>
      <c r="AE58" s="6">
        <f>SUM('[1]Slide 18 by layers'!$C50:D50)</f>
        <v>8725.7999999999975</v>
      </c>
      <c r="AF58" s="6">
        <f>SUM('[1]Slide 18 by layers'!$C50:E50)</f>
        <v>6494.0999999999967</v>
      </c>
      <c r="AG58" s="6">
        <f>SUM('[1]Slide 18 by layers'!$C50:G50)</f>
        <v>6681.2999999999965</v>
      </c>
      <c r="AH58" s="6"/>
      <c r="AI58">
        <f>SUM(S58:T58)+E58/1000</f>
        <v>7881.1938563347712</v>
      </c>
      <c r="AJ58">
        <f>Y58/AI58</f>
        <v>1.0596419929106644</v>
      </c>
    </row>
    <row r="59" spans="2:36" x14ac:dyDescent="0.2">
      <c r="B59">
        <v>2030</v>
      </c>
      <c r="C59" s="2">
        <v>1351444.08002302</v>
      </c>
      <c r="D59" s="2">
        <v>8425359.9006632306</v>
      </c>
      <c r="E59" s="2">
        <v>145082.01493871101</v>
      </c>
      <c r="F59" s="2">
        <v>8734922.8464350067</v>
      </c>
      <c r="G59" s="2">
        <v>-2266.5539240969301</v>
      </c>
      <c r="H59" s="2">
        <v>162214.3769089721</v>
      </c>
      <c r="I59" s="2">
        <v>8570441.9156019408</v>
      </c>
      <c r="J59">
        <v>8732656.29251091</v>
      </c>
      <c r="L59">
        <v>8384.2960809392207</v>
      </c>
      <c r="M59">
        <f t="shared" si="10"/>
        <v>1.0048977062984887</v>
      </c>
      <c r="N59">
        <v>7825.5999999999995</v>
      </c>
      <c r="O59">
        <f t="shared" si="11"/>
        <v>1.0713933859306917</v>
      </c>
      <c r="R59">
        <f t="shared" si="9"/>
        <v>1.0766407560651237</v>
      </c>
      <c r="S59" s="6">
        <v>10132.9</v>
      </c>
      <c r="T59" s="6">
        <v>-2307.3000000000002</v>
      </c>
      <c r="X59" s="5">
        <v>7786</v>
      </c>
      <c r="Y59">
        <f t="shared" si="12"/>
        <v>8425.3599006632303</v>
      </c>
      <c r="Z59" s="6">
        <f t="shared" si="13"/>
        <v>8570.4419156019412</v>
      </c>
      <c r="AA59" s="6">
        <f t="shared" si="14"/>
        <v>8732.6562925109138</v>
      </c>
      <c r="AB59" s="6">
        <f t="shared" si="15"/>
        <v>7381.2122124878933</v>
      </c>
      <c r="AC59" s="6"/>
      <c r="AD59" s="6">
        <f>SUM(S59:T59)</f>
        <v>7825.5999999999995</v>
      </c>
      <c r="AE59" s="6">
        <f>SUM('[1]Slide 18 by layers'!$C51:D51)</f>
        <v>8839.5</v>
      </c>
      <c r="AF59" s="6">
        <f>SUM('[1]Slide 18 by layers'!$C51:E51)</f>
        <v>6532.2</v>
      </c>
      <c r="AG59" s="6">
        <f>SUM('[1]Slide 18 by layers'!$C51:G51)</f>
        <v>6753.4</v>
      </c>
      <c r="AH59" s="6"/>
      <c r="AI59">
        <f>SUM(S59:T59)+E59/1000</f>
        <v>7970.6820149387104</v>
      </c>
      <c r="AJ59">
        <f>Y59/AI59</f>
        <v>1.0570437868268185</v>
      </c>
    </row>
    <row r="60" spans="2:36" x14ac:dyDescent="0.2">
      <c r="B60">
        <v>2031</v>
      </c>
      <c r="C60" s="2">
        <v>1394719.9076223001</v>
      </c>
      <c r="D60" s="2">
        <v>8457215.4813434593</v>
      </c>
      <c r="E60" s="2">
        <v>168126.054300616</v>
      </c>
      <c r="F60" s="2">
        <v>8793999.8848299775</v>
      </c>
      <c r="G60" s="2">
        <v>734.49106334725695</v>
      </c>
      <c r="H60" s="2">
        <v>169392.84024925</v>
      </c>
      <c r="I60" s="2">
        <v>8625341.5356440749</v>
      </c>
      <c r="J60">
        <v>8794734.3758933246</v>
      </c>
      <c r="L60">
        <v>8414.8307924382407</v>
      </c>
      <c r="M60">
        <f t="shared" si="10"/>
        <v>1.0050369032902369</v>
      </c>
      <c r="N60">
        <v>7854.0999999999995</v>
      </c>
      <c r="O60">
        <f t="shared" si="11"/>
        <v>1.0713933859306912</v>
      </c>
      <c r="R60">
        <f t="shared" si="9"/>
        <v>1.0767898908014235</v>
      </c>
      <c r="S60" s="6">
        <v>10237</v>
      </c>
      <c r="T60" s="6">
        <v>-2382.9000000000005</v>
      </c>
      <c r="X60" s="5">
        <v>7760</v>
      </c>
      <c r="Y60">
        <f t="shared" si="12"/>
        <v>8457.215481343459</v>
      </c>
      <c r="Z60" s="6">
        <f t="shared" si="13"/>
        <v>8625.3415356440746</v>
      </c>
      <c r="AA60" s="6">
        <f t="shared" si="14"/>
        <v>8794.7343758933239</v>
      </c>
      <c r="AB60" s="6">
        <f t="shared" si="15"/>
        <v>7400.0144682710243</v>
      </c>
      <c r="AC60" s="6"/>
      <c r="AD60" s="6">
        <f>SUM(S60:T60)</f>
        <v>7854.0999999999995</v>
      </c>
      <c r="AE60" s="6">
        <f>SUM('[1]Slide 18 by layers'!$C52:D52)</f>
        <v>8913.5</v>
      </c>
      <c r="AF60" s="6">
        <f>SUM('[1]Slide 18 by layers'!$C52:E52)</f>
        <v>6530.5999999999995</v>
      </c>
      <c r="AG60" s="6">
        <f>SUM('[1]Slide 18 by layers'!$C52:G52)</f>
        <v>6787.5999999999995</v>
      </c>
      <c r="AH60" s="6"/>
      <c r="AI60">
        <f>SUM(S60:T60)+E60/1000</f>
        <v>8022.226054300615</v>
      </c>
      <c r="AJ60">
        <f>Y60/AI60</f>
        <v>1.0542230328712381</v>
      </c>
    </row>
    <row r="61" spans="2:36" x14ac:dyDescent="0.2">
      <c r="B61">
        <v>2032</v>
      </c>
      <c r="C61" s="2">
        <v>1449218.5416808401</v>
      </c>
      <c r="D61" s="2">
        <v>8465635.6342940293</v>
      </c>
      <c r="E61" s="2">
        <v>193776.65816990301</v>
      </c>
      <c r="F61" s="2">
        <v>8831397.5285210107</v>
      </c>
      <c r="G61" s="2">
        <v>4444.7572723994199</v>
      </c>
      <c r="H61" s="2">
        <v>176429.99332946871</v>
      </c>
      <c r="I61" s="2">
        <v>8659412.2924639322</v>
      </c>
      <c r="J61">
        <v>8835842.2857934106</v>
      </c>
      <c r="L61">
        <v>8422.5044280171496</v>
      </c>
      <c r="M61">
        <f t="shared" si="10"/>
        <v>1.0051209478897281</v>
      </c>
      <c r="N61">
        <v>7882.8000000000011</v>
      </c>
      <c r="O61">
        <f t="shared" si="11"/>
        <v>1.0684660815975475</v>
      </c>
      <c r="R61">
        <f t="shared" si="9"/>
        <v>1.0739376407233505</v>
      </c>
      <c r="S61" s="6">
        <v>10345.000000000002</v>
      </c>
      <c r="T61" s="6">
        <v>-2462.2000000000003</v>
      </c>
      <c r="X61" s="5">
        <v>7758</v>
      </c>
      <c r="Y61">
        <f t="shared" si="12"/>
        <v>8465.6356342940289</v>
      </c>
      <c r="Z61" s="6">
        <f t="shared" si="13"/>
        <v>8659.4122924639323</v>
      </c>
      <c r="AA61" s="6">
        <f t="shared" si="14"/>
        <v>8835.842285793402</v>
      </c>
      <c r="AB61" s="6">
        <f t="shared" si="15"/>
        <v>7386.6237441125613</v>
      </c>
      <c r="AC61" s="6"/>
      <c r="AD61" s="6">
        <f>SUM(S61:T61)</f>
        <v>7882.8000000000011</v>
      </c>
      <c r="AE61" s="6">
        <f>SUM('[1]Slide 18 by layers'!$C53:D53)</f>
        <v>8988.8000000000011</v>
      </c>
      <c r="AF61" s="6">
        <f>SUM('[1]Slide 18 by layers'!$C53:E53)</f>
        <v>6526.6</v>
      </c>
      <c r="AG61" s="6">
        <f>SUM('[1]Slide 18 by layers'!$C53:G53)</f>
        <v>6823.7</v>
      </c>
      <c r="AH61" s="6"/>
      <c r="AI61">
        <f>SUM(S61:T61)+E61/1000</f>
        <v>8076.5766581699045</v>
      </c>
      <c r="AJ61">
        <f>Y61/AI61</f>
        <v>1.0481712726307835</v>
      </c>
    </row>
    <row r="62" spans="2:36" x14ac:dyDescent="0.2">
      <c r="B62">
        <v>2033</v>
      </c>
      <c r="C62" s="2">
        <v>1496706.4093769901</v>
      </c>
      <c r="D62" s="2">
        <v>8525741.4602411296</v>
      </c>
      <c r="E62" s="2">
        <v>222195.08459418701</v>
      </c>
      <c r="F62" s="2">
        <v>8924775.5647236984</v>
      </c>
      <c r="G62" s="2">
        <v>5699.5422972543502</v>
      </c>
      <c r="H62" s="2">
        <v>182538.56218564641</v>
      </c>
      <c r="I62" s="2">
        <v>8747936.544835316</v>
      </c>
      <c r="J62">
        <v>8930475.1070209537</v>
      </c>
      <c r="L62">
        <v>8482.2214364132906</v>
      </c>
      <c r="M62">
        <f t="shared" si="10"/>
        <v>1.0051307342250007</v>
      </c>
      <c r="N62">
        <v>7917</v>
      </c>
      <c r="O62">
        <f t="shared" si="11"/>
        <v>1.0713933859306923</v>
      </c>
      <c r="R62">
        <f t="shared" si="9"/>
        <v>1.0768904206443262</v>
      </c>
      <c r="S62" s="6">
        <v>10447.200000000001</v>
      </c>
      <c r="T62" s="6">
        <v>-2530.2000000000003</v>
      </c>
      <c r="X62" s="5">
        <v>7785</v>
      </c>
      <c r="Y62">
        <f t="shared" si="12"/>
        <v>8525.74146024113</v>
      </c>
      <c r="Z62" s="6">
        <f t="shared" si="13"/>
        <v>8747.9365448353165</v>
      </c>
      <c r="AA62" s="6">
        <f t="shared" si="14"/>
        <v>8930.4751070209622</v>
      </c>
      <c r="AB62" s="6">
        <f t="shared" si="15"/>
        <v>7433.7686976439727</v>
      </c>
      <c r="AC62" s="6"/>
      <c r="AD62" s="6">
        <f>SUM(S62:T62)</f>
        <v>7917</v>
      </c>
      <c r="AE62" s="6">
        <f>SUM('[1]Slide 18 by layers'!$C54:D54)</f>
        <v>9066.8000000000011</v>
      </c>
      <c r="AF62" s="6">
        <f>SUM('[1]Slide 18 by layers'!$C54:E54)</f>
        <v>6536.6</v>
      </c>
      <c r="AG62" s="6">
        <f>SUM('[1]Slide 18 by layers'!$C54:G54)</f>
        <v>6878.7000000000007</v>
      </c>
      <c r="AH62" s="6"/>
      <c r="AI62">
        <f>SUM(S62:T62)+E62/1000</f>
        <v>8139.1950845941874</v>
      </c>
      <c r="AJ62">
        <f>Y62/AI62</f>
        <v>1.0474919659289892</v>
      </c>
    </row>
    <row r="63" spans="2:36" x14ac:dyDescent="0.2">
      <c r="B63">
        <v>2034</v>
      </c>
      <c r="C63" s="2">
        <v>1547310.9581673299</v>
      </c>
      <c r="D63" s="2">
        <v>8547706.1605790406</v>
      </c>
      <c r="E63" s="2">
        <v>253526.73017378</v>
      </c>
      <c r="F63" s="2">
        <v>8983942.6449223589</v>
      </c>
      <c r="G63" s="2">
        <v>7071.3805575172</v>
      </c>
      <c r="H63" s="2">
        <v>189781.13472705791</v>
      </c>
      <c r="I63" s="2">
        <v>8801232.8907528203</v>
      </c>
      <c r="J63">
        <v>8991014.0254798755</v>
      </c>
      <c r="L63">
        <v>8504.0778614862702</v>
      </c>
      <c r="M63">
        <f t="shared" si="10"/>
        <v>1.0051302798261474</v>
      </c>
      <c r="N63">
        <v>7937.4000000000005</v>
      </c>
      <c r="O63">
        <f t="shared" si="11"/>
        <v>1.0713933859306914</v>
      </c>
      <c r="R63">
        <f t="shared" si="9"/>
        <v>1.0768899338043993</v>
      </c>
      <c r="S63" s="6">
        <v>10532.7</v>
      </c>
      <c r="T63" s="6">
        <v>-2595.3000000000002</v>
      </c>
      <c r="X63" s="5">
        <v>7796</v>
      </c>
      <c r="Y63">
        <f t="shared" si="12"/>
        <v>8547.7061605790404</v>
      </c>
      <c r="Z63" s="6">
        <f t="shared" si="13"/>
        <v>8801.2328907528208</v>
      </c>
      <c r="AA63" s="6">
        <f t="shared" si="14"/>
        <v>8991.0140254798771</v>
      </c>
      <c r="AB63" s="6">
        <f t="shared" si="15"/>
        <v>7443.7030673125482</v>
      </c>
      <c r="AC63" s="6"/>
      <c r="AD63" s="6">
        <f>SUM(S63:T63)</f>
        <v>7937.4000000000005</v>
      </c>
      <c r="AE63" s="6">
        <f>SUM('[1]Slide 18 by layers'!$C55:D55)</f>
        <v>9126.1</v>
      </c>
      <c r="AF63" s="6">
        <f>SUM('[1]Slide 18 by layers'!$C55:E55)</f>
        <v>6530.8</v>
      </c>
      <c r="AG63" s="6">
        <f>SUM('[1]Slide 18 by layers'!$C55:G55)</f>
        <v>6922.7000000000007</v>
      </c>
      <c r="AH63" s="6"/>
      <c r="AI63">
        <f>SUM(S63:T63)+E63/1000</f>
        <v>8190.9267301737809</v>
      </c>
      <c r="AJ63">
        <f>Y63/AI63</f>
        <v>1.0435578832723473</v>
      </c>
    </row>
    <row r="64" spans="2:36" x14ac:dyDescent="0.2">
      <c r="B64">
        <v>2035</v>
      </c>
      <c r="C64" s="2">
        <v>1604287.4624943901</v>
      </c>
      <c r="D64" s="2">
        <v>8573907.7487371694</v>
      </c>
      <c r="E64" s="2">
        <v>287956.64512725698</v>
      </c>
      <c r="F64" s="2">
        <v>9051514.0518518705</v>
      </c>
      <c r="G64" s="2">
        <v>8064.1331804931797</v>
      </c>
      <c r="H64" s="2">
        <v>197713.79116793489</v>
      </c>
      <c r="I64" s="2">
        <v>8861864.3938644268</v>
      </c>
      <c r="J64">
        <v>9059578.185032364</v>
      </c>
      <c r="L64">
        <v>8531.0769748117309</v>
      </c>
      <c r="M64">
        <f t="shared" si="10"/>
        <v>1.0050205588405656</v>
      </c>
      <c r="N64">
        <v>7962.6</v>
      </c>
      <c r="O64">
        <f t="shared" si="11"/>
        <v>1.0713933859306923</v>
      </c>
      <c r="R64">
        <f t="shared" si="9"/>
        <v>1.0767723794661503</v>
      </c>
      <c r="S64" s="6">
        <v>10616.7</v>
      </c>
      <c r="T64" s="6">
        <v>-2654.1000000000004</v>
      </c>
      <c r="X64" s="5">
        <v>7860</v>
      </c>
      <c r="Y64">
        <f t="shared" si="12"/>
        <v>8573.9077487371687</v>
      </c>
      <c r="Z64" s="6">
        <f t="shared" si="13"/>
        <v>8861.8643938644273</v>
      </c>
      <c r="AA64" s="6">
        <f t="shared" si="14"/>
        <v>9059.5781850323619</v>
      </c>
      <c r="AB64" s="6">
        <f t="shared" si="15"/>
        <v>7455.2907225379722</v>
      </c>
      <c r="AC64" s="6"/>
      <c r="AD64" s="6">
        <f>SUM(S64:T64)</f>
        <v>7962.6</v>
      </c>
      <c r="AE64" s="6">
        <f>SUM('[1]Slide 18 by layers'!$C56:D56)</f>
        <v>9183.9000000000015</v>
      </c>
      <c r="AF64" s="6">
        <f>SUM('[1]Slide 18 by layers'!$C56:E56)</f>
        <v>6529.8000000000011</v>
      </c>
      <c r="AG64" s="6">
        <f>SUM('[1]Slide 18 by layers'!$C56:G56)</f>
        <v>6977.2000000000007</v>
      </c>
      <c r="AH64" s="6"/>
      <c r="AI64">
        <f>SUM(S64:T64)+E64/1000</f>
        <v>8250.5566451272571</v>
      </c>
      <c r="AJ64">
        <f>Y64/AI64</f>
        <v>1.0391914288353963</v>
      </c>
    </row>
    <row r="65" spans="2:36" x14ac:dyDescent="0.2">
      <c r="B65">
        <v>2036</v>
      </c>
      <c r="C65" s="2">
        <v>1619972.0883836399</v>
      </c>
      <c r="D65" s="2">
        <v>8611264.0635004696</v>
      </c>
      <c r="E65" s="2">
        <v>321548.546948036</v>
      </c>
      <c r="F65" s="2">
        <v>9125651.7996340189</v>
      </c>
      <c r="G65" s="2">
        <v>8083.1467412553602</v>
      </c>
      <c r="H65" s="2">
        <v>200922.33592679002</v>
      </c>
      <c r="I65" s="2">
        <v>8932812.6104485057</v>
      </c>
      <c r="J65">
        <v>9133734.946375275</v>
      </c>
      <c r="L65">
        <v>8567.0678888573002</v>
      </c>
      <c r="M65">
        <f t="shared" si="10"/>
        <v>1.0051588449183009</v>
      </c>
      <c r="N65">
        <v>8018.0999999999995</v>
      </c>
      <c r="O65">
        <f t="shared" si="11"/>
        <v>1.0684660815975482</v>
      </c>
      <c r="R65">
        <f t="shared" si="9"/>
        <v>1.0739781324129745</v>
      </c>
      <c r="S65" s="6">
        <v>10731</v>
      </c>
      <c r="T65" s="6">
        <v>-2712.9000000000005</v>
      </c>
      <c r="X65" s="5">
        <v>7921</v>
      </c>
      <c r="Y65">
        <f t="shared" si="12"/>
        <v>8611.26406350047</v>
      </c>
      <c r="Z65" s="6">
        <f t="shared" si="13"/>
        <v>8932.8126104485054</v>
      </c>
      <c r="AA65" s="6">
        <f t="shared" si="14"/>
        <v>9133.7349463752962</v>
      </c>
      <c r="AB65" s="6">
        <f t="shared" si="15"/>
        <v>7513.7628579916554</v>
      </c>
      <c r="AC65" s="6"/>
      <c r="AD65" s="6">
        <f>SUM(S65:T65)</f>
        <v>8018.0999999999995</v>
      </c>
      <c r="AE65" s="6">
        <f>SUM('[1]Slide 18 by layers'!$C57:D57)</f>
        <v>9269.7999999999993</v>
      </c>
      <c r="AF65" s="6">
        <f>SUM('[1]Slide 18 by layers'!$C57:E57)</f>
        <v>6556.8999999999987</v>
      </c>
      <c r="AG65" s="6">
        <f>SUM('[1]Slide 18 by layers'!$C57:G57)</f>
        <v>7058.2999999999993</v>
      </c>
      <c r="AH65" s="6"/>
      <c r="AI65">
        <f>SUM(S65:T65)+E65/1000</f>
        <v>8339.6485469480358</v>
      </c>
      <c r="AJ65">
        <f>Y65/AI65</f>
        <v>1.0325691802266457</v>
      </c>
    </row>
    <row r="66" spans="2:36" x14ac:dyDescent="0.2">
      <c r="B66">
        <v>2037</v>
      </c>
      <c r="C66" s="2">
        <v>1714857.2238308</v>
      </c>
      <c r="D66" s="2">
        <v>8650770.4580376707</v>
      </c>
      <c r="E66" s="2">
        <v>360454.03361651901</v>
      </c>
      <c r="F66" s="2">
        <v>9209776.4222487006</v>
      </c>
      <c r="G66" s="2">
        <v>5652.2290862106001</v>
      </c>
      <c r="H66" s="2">
        <v>204204.15968072088</v>
      </c>
      <c r="I66" s="2">
        <v>9011224.4916541893</v>
      </c>
      <c r="J66">
        <v>9215428.6513349116</v>
      </c>
      <c r="L66">
        <v>8605.2173971181292</v>
      </c>
      <c r="M66">
        <f t="shared" si="10"/>
        <v>1.0052936560248666</v>
      </c>
      <c r="N66">
        <v>8031.7999999999993</v>
      </c>
      <c r="O66">
        <f t="shared" si="11"/>
        <v>1.0713933859306917</v>
      </c>
      <c r="R66">
        <f t="shared" si="9"/>
        <v>1.077064973983126</v>
      </c>
      <c r="S66" s="6">
        <v>10791.8</v>
      </c>
      <c r="T66" s="6">
        <v>-2760</v>
      </c>
      <c r="X66" s="5">
        <v>7938</v>
      </c>
      <c r="Y66">
        <f t="shared" si="12"/>
        <v>8650.7704580376703</v>
      </c>
      <c r="Z66" s="6">
        <f t="shared" si="13"/>
        <v>9011.2244916541895</v>
      </c>
      <c r="AA66" s="6">
        <f t="shared" si="14"/>
        <v>9215.4286513349089</v>
      </c>
      <c r="AB66" s="6">
        <f t="shared" si="15"/>
        <v>7500.5714275041091</v>
      </c>
      <c r="AC66" s="6"/>
      <c r="AD66" s="6">
        <f>SUM(S66:T66)</f>
        <v>8031.7999999999993</v>
      </c>
      <c r="AE66" s="6">
        <f>SUM('[1]Slide 18 by layers'!$C58:D58)</f>
        <v>9310.5999999999985</v>
      </c>
      <c r="AF66" s="6">
        <f>SUM('[1]Slide 18 by layers'!$C58:E58)</f>
        <v>6550.5999999999985</v>
      </c>
      <c r="AG66" s="6">
        <f>SUM('[1]Slide 18 by layers'!$C58:G58)</f>
        <v>7111.7999999999984</v>
      </c>
      <c r="AH66" s="6"/>
      <c r="AI66">
        <f>SUM(S66:T66)+E66/1000</f>
        <v>8392.2540336165184</v>
      </c>
      <c r="AJ66">
        <f>Y66/AI66</f>
        <v>1.0308041705345934</v>
      </c>
    </row>
    <row r="67" spans="2:36" x14ac:dyDescent="0.2">
      <c r="B67">
        <v>2038</v>
      </c>
      <c r="C67" s="2">
        <v>1733197.46899558</v>
      </c>
      <c r="D67" s="2">
        <v>8687254.1176068708</v>
      </c>
      <c r="E67" s="2">
        <v>406587.05310769897</v>
      </c>
      <c r="F67" s="2">
        <v>9297548.9123425446</v>
      </c>
      <c r="G67" s="2">
        <v>3912.9130764213301</v>
      </c>
      <c r="H67" s="2">
        <v>207620.65470439379</v>
      </c>
      <c r="I67" s="2">
        <v>9093841.1707145702</v>
      </c>
      <c r="J67">
        <v>9301461.8254189659</v>
      </c>
      <c r="L67">
        <v>8641.3233542239905</v>
      </c>
      <c r="M67">
        <f t="shared" si="10"/>
        <v>1.0053152464616926</v>
      </c>
      <c r="N67">
        <v>8065.4999999999991</v>
      </c>
      <c r="O67">
        <f t="shared" si="11"/>
        <v>1.0713933859306914</v>
      </c>
      <c r="R67">
        <f t="shared" si="9"/>
        <v>1.0770881058343404</v>
      </c>
      <c r="S67" s="6">
        <v>10874.699999999999</v>
      </c>
      <c r="T67" s="6">
        <v>-2809.2</v>
      </c>
      <c r="X67" s="5">
        <v>8003</v>
      </c>
      <c r="Y67">
        <f t="shared" si="12"/>
        <v>8687.2541176068717</v>
      </c>
      <c r="Z67" s="6">
        <f t="shared" si="13"/>
        <v>9093.8411707145697</v>
      </c>
      <c r="AA67" s="6">
        <f t="shared" si="14"/>
        <v>9301.4618254189645</v>
      </c>
      <c r="AB67" s="6">
        <f t="shared" si="15"/>
        <v>7568.264356423384</v>
      </c>
      <c r="AC67" s="6"/>
      <c r="AD67" s="6">
        <f>SUM(S67:T67)</f>
        <v>8065.4999999999991</v>
      </c>
      <c r="AE67" s="6">
        <f>SUM('[1]Slide 18 by layers'!$C59:D59)</f>
        <v>9370.5999999999985</v>
      </c>
      <c r="AF67" s="6">
        <f>SUM('[1]Slide 18 by layers'!$C59:E59)</f>
        <v>6561.3999999999987</v>
      </c>
      <c r="AG67" s="6">
        <f>SUM('[1]Slide 18 by layers'!$C59:G59)</f>
        <v>7185.7999999999984</v>
      </c>
      <c r="AH67" s="6"/>
      <c r="AI67">
        <f>SUM(S67:T67)+E67/1000</f>
        <v>8472.087053107698</v>
      </c>
      <c r="AJ67">
        <f>Y67/AI67</f>
        <v>1.0253971734650964</v>
      </c>
    </row>
    <row r="68" spans="2:36" x14ac:dyDescent="0.2">
      <c r="B68">
        <v>2039</v>
      </c>
      <c r="C68" s="2">
        <v>1757840.01117077</v>
      </c>
      <c r="D68" s="2">
        <v>8736513.3394747209</v>
      </c>
      <c r="E68" s="2">
        <v>460669.301274025</v>
      </c>
      <c r="F68" s="2">
        <v>9405290.8099375423</v>
      </c>
      <c r="G68" s="2">
        <v>2103.67726403499</v>
      </c>
      <c r="H68" s="2">
        <v>210211.84645283769</v>
      </c>
      <c r="I68" s="2">
        <v>9197182.6407487467</v>
      </c>
      <c r="J68">
        <v>9407394.4872015771</v>
      </c>
      <c r="L68">
        <v>8690.7145893153993</v>
      </c>
      <c r="M68">
        <f t="shared" si="10"/>
        <v>1.0052698486055023</v>
      </c>
      <c r="N68">
        <v>8111.6</v>
      </c>
      <c r="O68">
        <f t="shared" si="11"/>
        <v>1.0713933859306917</v>
      </c>
      <c r="R68">
        <f t="shared" si="9"/>
        <v>1.0770394668714829</v>
      </c>
      <c r="S68" s="6">
        <v>10972.2</v>
      </c>
      <c r="T68" s="6">
        <v>-2860.6000000000004</v>
      </c>
      <c r="X68" s="5">
        <v>8095</v>
      </c>
      <c r="Y68">
        <f t="shared" si="12"/>
        <v>8736.5133394747209</v>
      </c>
      <c r="Z68" s="6">
        <f t="shared" si="13"/>
        <v>9197.1826407487461</v>
      </c>
      <c r="AA68" s="6">
        <f t="shared" si="14"/>
        <v>9407.3944872015836</v>
      </c>
      <c r="AB68" s="6">
        <f t="shared" si="15"/>
        <v>7649.5544760308148</v>
      </c>
      <c r="AC68" s="6"/>
      <c r="AD68" s="6">
        <f>SUM(S68:T68)</f>
        <v>8111.6</v>
      </c>
      <c r="AE68" s="6">
        <f>SUM('[1]Slide 18 by layers'!$C60:D60)</f>
        <v>9446.4000000000015</v>
      </c>
      <c r="AF68" s="6">
        <f>SUM('[1]Slide 18 by layers'!$C60:E60)</f>
        <v>6585.8000000000011</v>
      </c>
      <c r="AG68" s="6">
        <f>SUM('[1]Slide 18 by layers'!$C60:G60)</f>
        <v>7285.8000000000011</v>
      </c>
      <c r="AH68" s="6"/>
      <c r="AI68">
        <f>SUM(S68:T68)+E68/1000</f>
        <v>8572.2693012740256</v>
      </c>
      <c r="AJ68">
        <f>Y68/AI68</f>
        <v>1.0191599251526413</v>
      </c>
    </row>
    <row r="69" spans="2:36" x14ac:dyDescent="0.2">
      <c r="B69">
        <v>2040</v>
      </c>
      <c r="C69" s="2">
        <v>1814601.3008534999</v>
      </c>
      <c r="D69" s="2">
        <v>8798578.1550558992</v>
      </c>
      <c r="E69" s="2">
        <v>523472.70188441902</v>
      </c>
      <c r="F69" s="2">
        <v>9536104.5796137378</v>
      </c>
      <c r="G69" s="2">
        <v>-275.01917017784501</v>
      </c>
      <c r="H69" s="2">
        <v>213778.70350323941</v>
      </c>
      <c r="I69" s="2">
        <v>9322050.8569403179</v>
      </c>
      <c r="J69">
        <v>9535829.5604435597</v>
      </c>
      <c r="L69">
        <v>8753.8357599205501</v>
      </c>
      <c r="M69">
        <f t="shared" si="10"/>
        <v>1.0051111759875826</v>
      </c>
      <c r="N69">
        <v>8192.9</v>
      </c>
      <c r="O69">
        <f t="shared" si="11"/>
        <v>1.068466081597548</v>
      </c>
      <c r="R69">
        <f t="shared" si="9"/>
        <v>1.0739271997773558</v>
      </c>
      <c r="S69" s="6">
        <v>11110</v>
      </c>
      <c r="T69" s="6">
        <v>-2917.1000000000004</v>
      </c>
      <c r="X69" s="5">
        <v>8271</v>
      </c>
      <c r="Y69">
        <f t="shared" si="12"/>
        <v>8798.5781550558986</v>
      </c>
      <c r="Z69" s="6">
        <f t="shared" si="13"/>
        <v>9322.0508569403173</v>
      </c>
      <c r="AA69" s="6">
        <f t="shared" si="14"/>
        <v>9535.8295604435571</v>
      </c>
      <c r="AB69" s="6">
        <f t="shared" si="15"/>
        <v>7721.2282595900579</v>
      </c>
      <c r="AC69" s="6"/>
      <c r="AD69" s="6">
        <f>SUM(S69:T69)</f>
        <v>8192.9</v>
      </c>
      <c r="AE69" s="6">
        <f>SUM('[1]Slide 18 by layers'!$C61:D61)</f>
        <v>9559.4</v>
      </c>
      <c r="AF69" s="6">
        <f>SUM('[1]Slide 18 by layers'!$C61:E61)</f>
        <v>6642.2999999999993</v>
      </c>
      <c r="AG69" s="6">
        <f>SUM('[1]Slide 18 by layers'!$C61:G61)</f>
        <v>7431.6999999999989</v>
      </c>
      <c r="AH69" s="6"/>
      <c r="AI69">
        <f>SUM(S69:T69)+E69/1000</f>
        <v>8716.3727018844183</v>
      </c>
      <c r="AJ69">
        <f>Y69/AI69</f>
        <v>1.009431153988368</v>
      </c>
    </row>
    <row r="70" spans="2:36" x14ac:dyDescent="0.2">
      <c r="B70">
        <v>2041</v>
      </c>
      <c r="C70" s="2">
        <v>1766752.98699287</v>
      </c>
      <c r="D70" s="2">
        <v>8817074.7056673709</v>
      </c>
      <c r="E70" s="2">
        <v>597072.46096148796</v>
      </c>
      <c r="F70" s="2">
        <v>9646517.3147056121</v>
      </c>
      <c r="G70" s="2">
        <v>3031.0014530643998</v>
      </c>
      <c r="H70" s="2">
        <v>235401.14952982659</v>
      </c>
      <c r="I70" s="2">
        <v>9414147.1666288581</v>
      </c>
      <c r="J70">
        <v>9649548.3161586765</v>
      </c>
      <c r="L70">
        <v>8772.9976013548803</v>
      </c>
      <c r="M70">
        <f t="shared" si="10"/>
        <v>1.0050241783157088</v>
      </c>
      <c r="N70">
        <v>8188.4000000000015</v>
      </c>
      <c r="O70">
        <f t="shared" si="11"/>
        <v>1.0713933859306921</v>
      </c>
      <c r="R70">
        <f t="shared" si="9"/>
        <v>1.0767762573478787</v>
      </c>
      <c r="S70" s="6">
        <v>11151.500000000002</v>
      </c>
      <c r="T70" s="6">
        <v>-2963.1000000000004</v>
      </c>
      <c r="X70" s="5">
        <v>8328</v>
      </c>
      <c r="Y70">
        <f t="shared" si="12"/>
        <v>8817.0747056673717</v>
      </c>
      <c r="Z70" s="6">
        <f t="shared" si="13"/>
        <v>9414.147166628858</v>
      </c>
      <c r="AA70" s="6">
        <f t="shared" si="14"/>
        <v>9649.5483161586835</v>
      </c>
      <c r="AB70" s="6">
        <f t="shared" si="15"/>
        <v>7882.7953291658141</v>
      </c>
      <c r="AC70" s="6"/>
      <c r="AD70" s="6">
        <f>SUM(S70:T70)</f>
        <v>8188.4000000000015</v>
      </c>
      <c r="AE70" s="6">
        <f>SUM('[1]Slide 18 by layers'!$C62:D62)</f>
        <v>9583.5000000000018</v>
      </c>
      <c r="AF70" s="6">
        <f>SUM('[1]Slide 18 by layers'!$C62:E62)</f>
        <v>6620.4000000000015</v>
      </c>
      <c r="AG70" s="6">
        <f>SUM('[1]Slide 18 by layers'!$C62:G62)</f>
        <v>7512.0000000000009</v>
      </c>
      <c r="AH70" s="6"/>
      <c r="AI70">
        <f>SUM(S70:T70)+E70/1000</f>
        <v>8785.4724609614896</v>
      </c>
      <c r="AJ70">
        <f>Y70/AI70</f>
        <v>1.0035971024718713</v>
      </c>
    </row>
    <row r="71" spans="2:36" x14ac:dyDescent="0.2">
      <c r="B71">
        <v>2042</v>
      </c>
      <c r="C71" s="2">
        <v>1708513.1790783801</v>
      </c>
      <c r="D71" s="2">
        <v>8851881.0918827001</v>
      </c>
      <c r="E71" s="2">
        <v>672734.20818841294</v>
      </c>
      <c r="F71" s="2">
        <v>9766075.3897728082</v>
      </c>
      <c r="G71" s="2">
        <v>9132.3250069321493</v>
      </c>
      <c r="H71" s="2">
        <v>250592.41470862311</v>
      </c>
      <c r="I71" s="2">
        <v>9524615.3000711128</v>
      </c>
      <c r="J71">
        <v>9775207.7147797402</v>
      </c>
      <c r="L71">
        <v>8806.6393536730993</v>
      </c>
      <c r="M71">
        <f t="shared" si="10"/>
        <v>1.0051372307179505</v>
      </c>
      <c r="N71">
        <v>8219.7999999999993</v>
      </c>
      <c r="O71">
        <f t="shared" si="11"/>
        <v>1.0713933859306917</v>
      </c>
      <c r="R71">
        <f t="shared" si="9"/>
        <v>1.076897380943904</v>
      </c>
      <c r="S71" s="6">
        <v>11231.6</v>
      </c>
      <c r="T71" s="6">
        <v>-3011.8</v>
      </c>
      <c r="X71" s="5">
        <v>8450</v>
      </c>
      <c r="Y71">
        <f t="shared" si="12"/>
        <v>8851.8810918827003</v>
      </c>
      <c r="Z71" s="6">
        <f t="shared" si="13"/>
        <v>9524.6153000711129</v>
      </c>
      <c r="AA71" s="6">
        <f t="shared" si="14"/>
        <v>9775.2077147797372</v>
      </c>
      <c r="AB71" s="6">
        <f t="shared" si="15"/>
        <v>8066.6945357013565</v>
      </c>
      <c r="AC71" s="6"/>
      <c r="AD71" s="6">
        <f>SUM(S71:T71)</f>
        <v>8219.7999999999993</v>
      </c>
      <c r="AE71" s="6">
        <f>SUM('[1]Slide 18 by layers'!$C63:D63)</f>
        <v>9643.4</v>
      </c>
      <c r="AF71" s="6">
        <f>SUM('[1]Slide 18 by layers'!$C63:E63)</f>
        <v>6631.5999999999995</v>
      </c>
      <c r="AG71" s="6">
        <f>SUM('[1]Slide 18 by layers'!$C63:G63)</f>
        <v>7637.2999999999993</v>
      </c>
      <c r="AH71" s="6"/>
      <c r="AI71">
        <f>SUM(S71:T71)+E71/1000</f>
        <v>8892.5342081884119</v>
      </c>
      <c r="AJ71">
        <f>Y71/AI71</f>
        <v>0.99542839922186888</v>
      </c>
    </row>
    <row r="72" spans="2:36" x14ac:dyDescent="0.2">
      <c r="B72">
        <v>2043</v>
      </c>
      <c r="C72" s="2">
        <v>1665084.5857440501</v>
      </c>
      <c r="D72" s="2">
        <v>8902569.1552693807</v>
      </c>
      <c r="E72" s="2">
        <v>751343.54103981098</v>
      </c>
      <c r="F72" s="2">
        <v>9899010.9716680255</v>
      </c>
      <c r="G72" s="2">
        <v>20705.8938364241</v>
      </c>
      <c r="H72" s="2">
        <v>265804.16919526353</v>
      </c>
      <c r="I72" s="2">
        <v>9653912.6963091921</v>
      </c>
      <c r="J72">
        <v>9919716.8655044492</v>
      </c>
      <c r="L72">
        <v>8854.5306380242</v>
      </c>
      <c r="M72">
        <f t="shared" si="10"/>
        <v>1.0054253036337</v>
      </c>
      <c r="N72">
        <v>8264.5</v>
      </c>
      <c r="O72">
        <f t="shared" si="11"/>
        <v>1.0713933859306914</v>
      </c>
      <c r="R72">
        <f t="shared" si="9"/>
        <v>1.0772060203605034</v>
      </c>
      <c r="S72" s="6">
        <v>11322</v>
      </c>
      <c r="T72" s="6">
        <v>-3057.5</v>
      </c>
      <c r="X72" s="5">
        <v>8589</v>
      </c>
      <c r="Y72">
        <f t="shared" si="12"/>
        <v>8902.5691552693806</v>
      </c>
      <c r="Z72" s="6">
        <f t="shared" si="13"/>
        <v>9653.9126963091912</v>
      </c>
      <c r="AA72" s="6">
        <f t="shared" si="14"/>
        <v>9919.7168655044552</v>
      </c>
      <c r="AB72" s="6">
        <f t="shared" si="15"/>
        <v>8254.6322797604043</v>
      </c>
      <c r="AC72" s="6"/>
      <c r="AD72" s="6">
        <f>SUM(S72:T72)</f>
        <v>8264.5</v>
      </c>
      <c r="AE72" s="6">
        <f>SUM('[1]Slide 18 by layers'!$C64:D64)</f>
        <v>9713.7000000000007</v>
      </c>
      <c r="AF72" s="6">
        <f>SUM('[1]Slide 18 by layers'!$C64:E64)</f>
        <v>6656.2000000000007</v>
      </c>
      <c r="AG72" s="6">
        <f>SUM('[1]Slide 18 by layers'!$C64:G64)</f>
        <v>7776.4000000000005</v>
      </c>
      <c r="AH72" s="6"/>
      <c r="AI72">
        <f>SUM(S72:T72)+E72/1000</f>
        <v>9015.8435410398106</v>
      </c>
      <c r="AJ72">
        <f>Y72/AI72</f>
        <v>0.98743607458860516</v>
      </c>
    </row>
    <row r="73" spans="2:36" x14ac:dyDescent="0.2">
      <c r="B73">
        <v>2044</v>
      </c>
      <c r="C73" s="2">
        <v>1624972.88789786</v>
      </c>
      <c r="D73" s="2">
        <v>8958181.7576656602</v>
      </c>
      <c r="E73" s="2">
        <v>835166.00290596799</v>
      </c>
      <c r="F73" s="2">
        <v>10009609.537206288</v>
      </c>
      <c r="G73" s="2">
        <v>32237.353382101301</v>
      </c>
      <c r="H73" s="2">
        <v>248499.13001675869</v>
      </c>
      <c r="I73" s="2">
        <v>9793347.7605716288</v>
      </c>
      <c r="J73">
        <v>10041846.89058839</v>
      </c>
      <c r="L73">
        <v>8908.9770349685095</v>
      </c>
      <c r="M73">
        <f t="shared" si="10"/>
        <v>1.0055230496727086</v>
      </c>
      <c r="N73">
        <v>8338.0999999999985</v>
      </c>
      <c r="O73">
        <f t="shared" si="11"/>
        <v>1.0684660815975475</v>
      </c>
      <c r="R73">
        <f t="shared" si="9"/>
        <v>1.074367272839815</v>
      </c>
      <c r="S73" s="6">
        <v>11443.3</v>
      </c>
      <c r="T73" s="6">
        <v>-3105.2000000000003</v>
      </c>
      <c r="X73" s="5">
        <v>8762</v>
      </c>
      <c r="Y73">
        <f t="shared" si="12"/>
        <v>8958.1817576656595</v>
      </c>
      <c r="Z73" s="6">
        <f t="shared" si="13"/>
        <v>9793.3477605716289</v>
      </c>
      <c r="AA73" s="6">
        <f t="shared" si="14"/>
        <v>10041.846890588387</v>
      </c>
      <c r="AB73" s="6">
        <f t="shared" si="15"/>
        <v>8416.874002690527</v>
      </c>
      <c r="AC73" s="6"/>
      <c r="AD73" s="6">
        <f>SUM(S73:T73)</f>
        <v>8338.0999999999985</v>
      </c>
      <c r="AE73" s="6">
        <f>SUM('[1]Slide 18 by layers'!$C65:D65)</f>
        <v>9813.1999999999989</v>
      </c>
      <c r="AF73" s="6">
        <f>SUM('[1]Slide 18 by layers'!$C65:E65)</f>
        <v>6707.9999999999982</v>
      </c>
      <c r="AG73" s="6">
        <f>SUM('[1]Slide 18 by layers'!$C65:G65)</f>
        <v>7945.4999999999982</v>
      </c>
      <c r="AH73" s="6"/>
      <c r="AI73">
        <f>SUM(S73:T73)+E73/1000</f>
        <v>9173.2660029059662</v>
      </c>
      <c r="AJ73">
        <f>Y73/AI73</f>
        <v>0.97655314419399031</v>
      </c>
    </row>
    <row r="74" spans="2:36" x14ac:dyDescent="0.2">
      <c r="B74">
        <v>2045</v>
      </c>
      <c r="C74" s="2">
        <v>1701555.36431728</v>
      </c>
      <c r="D74" s="2">
        <v>9000426.7479595803</v>
      </c>
      <c r="E74" s="2">
        <v>925893.48149958905</v>
      </c>
      <c r="F74" s="2">
        <v>10168539.421105055</v>
      </c>
      <c r="G74" s="2">
        <v>23718.366270390601</v>
      </c>
      <c r="H74" s="2">
        <v>265937.55791626842</v>
      </c>
      <c r="I74" s="2">
        <v>9926320.2294591703</v>
      </c>
      <c r="J74">
        <v>10192257.787375446</v>
      </c>
      <c r="L74">
        <v>8953.6345262227896</v>
      </c>
      <c r="M74">
        <f t="shared" si="10"/>
        <v>1.0052260589372672</v>
      </c>
      <c r="N74">
        <v>8357</v>
      </c>
      <c r="O74">
        <f t="shared" si="11"/>
        <v>1.0713933859306917</v>
      </c>
      <c r="R74">
        <f t="shared" si="9"/>
        <v>1.0769925509105636</v>
      </c>
      <c r="S74" s="6">
        <v>11499.1</v>
      </c>
      <c r="T74" s="6">
        <v>-3142.1000000000004</v>
      </c>
      <c r="X74" s="5">
        <v>8874</v>
      </c>
      <c r="Y74">
        <f t="shared" si="12"/>
        <v>9000.4267479595801</v>
      </c>
      <c r="Z74" s="6">
        <f t="shared" si="13"/>
        <v>9926.3202294591702</v>
      </c>
      <c r="AA74" s="6">
        <f t="shared" si="14"/>
        <v>10192.257787375438</v>
      </c>
      <c r="AB74" s="6">
        <f t="shared" si="15"/>
        <v>8490.7024230581592</v>
      </c>
      <c r="AC74" s="6"/>
      <c r="AD74" s="6">
        <f>SUM(S74:T74)</f>
        <v>8357</v>
      </c>
      <c r="AE74" s="6">
        <f>SUM('[1]Slide 18 by layers'!$C66:D66)</f>
        <v>9855.9</v>
      </c>
      <c r="AF74" s="6">
        <f>SUM('[1]Slide 18 by layers'!$C66:E66)</f>
        <v>6713.7999999999993</v>
      </c>
      <c r="AG74" s="6">
        <f>SUM('[1]Slide 18 by layers'!$C66:G66)</f>
        <v>8079.2999999999993</v>
      </c>
      <c r="AH74" s="6"/>
      <c r="AI74">
        <f>SUM(S74:T74)+E74/1000</f>
        <v>9282.8934814995882</v>
      </c>
      <c r="AJ74">
        <f>Y74/AI74</f>
        <v>0.96957126200974375</v>
      </c>
    </row>
    <row r="75" spans="2:36" x14ac:dyDescent="0.2">
      <c r="M75" t="s">
        <v>38</v>
      </c>
    </row>
    <row r="76" spans="2:36" x14ac:dyDescent="0.2">
      <c r="Q76" t="s">
        <v>31</v>
      </c>
    </row>
    <row r="77" spans="2:36" x14ac:dyDescent="0.2">
      <c r="L77" t="s">
        <v>35</v>
      </c>
    </row>
  </sheetData>
  <autoFilter ref="A1:AF36" xr:uid="{00000000-0009-0000-0000-000000000000}"/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annual_details_by_owner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Fripp</dc:creator>
  <cp:lastModifiedBy>Matthias Fripp</cp:lastModifiedBy>
  <dcterms:created xsi:type="dcterms:W3CDTF">2020-06-29T01:41:54Z</dcterms:created>
  <dcterms:modified xsi:type="dcterms:W3CDTF">2020-08-18T02:42:46Z</dcterms:modified>
</cp:coreProperties>
</file>