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atthias/Dropbox/Research/Energy Innovation Tests/SWITCH-China/"/>
    </mc:Choice>
  </mc:AlternateContent>
  <xr:revisionPtr revIDLastSave="0" documentId="13_ncr:1_{542AC635-15B5-A446-AC5C-F584EF253FE4}" xr6:coauthVersionLast="47" xr6:coauthVersionMax="47" xr10:uidLastSave="{00000000-0000-0000-0000-000000000000}"/>
  <bookViews>
    <workbookView xWindow="5640" yWindow="500" windowWidth="29040" windowHeight="18560" xr2:uid="{00000000-000D-0000-FFFF-FFFF00000000}"/>
  </bookViews>
  <sheets>
    <sheet name="COE and Carbon Capture Cost" sheetId="8" r:id="rId1"/>
    <sheet name="PFD of Blocks in Fig. 2" sheetId="12" r:id="rId2"/>
    <sheet name="CAPEX Model and Validation" sheetId="11" r:id="rId3"/>
    <sheet name="Component List" sheetId="13" r:id="rId4"/>
    <sheet name="Case EEMPA SS" sheetId="9" r:id="rId5"/>
    <sheet name="Case EEMPA TSF" sheetId="10" r:id="rId6"/>
    <sheet name="Case EEDIDA SS" sheetId="2" r:id="rId7"/>
    <sheet name="Case EEDIDA TSF" sheetId="3" r:id="rId8"/>
    <sheet name="Case MPMPA SS" sheetId="4" r:id="rId9"/>
    <sheet name="Case MPMPA TSF" sheetId="5" r:id="rId10"/>
    <sheet name="Case MPMEA SS" sheetId="6" r:id="rId11"/>
    <sheet name="Case MPMEA TSF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8" l="1"/>
  <c r="K81" i="8"/>
  <c r="K79" i="8"/>
  <c r="K68" i="8"/>
  <c r="K52" i="8"/>
  <c r="K2" i="8"/>
  <c r="K77" i="8" s="1"/>
  <c r="K53" i="8" l="1"/>
  <c r="K69" i="8"/>
  <c r="K80" i="8"/>
  <c r="K54" i="8"/>
  <c r="K70" i="8"/>
  <c r="K45" i="8"/>
  <c r="K55" i="8"/>
  <c r="K71" i="8"/>
  <c r="K85" i="8"/>
  <c r="K89" i="8" s="1"/>
  <c r="K46" i="8"/>
  <c r="K56" i="8"/>
  <c r="K72" i="8"/>
  <c r="K86" i="8"/>
  <c r="K47" i="8"/>
  <c r="K57" i="8"/>
  <c r="K73" i="8"/>
  <c r="K87" i="8"/>
  <c r="K48" i="8"/>
  <c r="K59" i="8"/>
  <c r="K74" i="8"/>
  <c r="K88" i="8"/>
  <c r="K49" i="8"/>
  <c r="K75" i="8"/>
  <c r="K50" i="8"/>
  <c r="K61" i="8"/>
  <c r="K76" i="8"/>
  <c r="K51" i="8"/>
  <c r="K67" i="8"/>
  <c r="K34" i="8"/>
  <c r="K12" i="8"/>
  <c r="K22" i="8"/>
  <c r="K13" i="8"/>
  <c r="K23" i="8"/>
  <c r="K14" i="8"/>
  <c r="K24" i="8"/>
  <c r="K5" i="8"/>
  <c r="K16" i="8"/>
  <c r="K26" i="8"/>
  <c r="K7" i="8"/>
  <c r="K17" i="8"/>
  <c r="K27" i="8"/>
  <c r="K8" i="8"/>
  <c r="K18" i="8"/>
  <c r="K28" i="8"/>
  <c r="K9" i="8"/>
  <c r="K19" i="8"/>
  <c r="K15" i="8"/>
  <c r="K25" i="8"/>
  <c r="K10" i="8"/>
  <c r="K20" i="8"/>
  <c r="K11" i="8"/>
  <c r="K21" i="8"/>
  <c r="K35" i="8" l="1"/>
  <c r="K82" i="8"/>
  <c r="K29" i="8"/>
  <c r="K30" i="8" s="1"/>
  <c r="K32" i="8" l="1"/>
  <c r="K31" i="8"/>
  <c r="D78" i="10" l="1"/>
  <c r="D81" i="9"/>
  <c r="D79" i="9"/>
  <c r="D77" i="9"/>
  <c r="D54" i="10" l="1"/>
  <c r="D46" i="10"/>
  <c r="D92" i="10"/>
  <c r="G80" i="10"/>
  <c r="G83" i="10"/>
  <c r="G73" i="10"/>
  <c r="D73" i="10"/>
  <c r="D72" i="10"/>
  <c r="AC35" i="10"/>
  <c r="AC34" i="10"/>
  <c r="AD34" i="10" s="1"/>
  <c r="AE34" i="10" s="1"/>
  <c r="AF34" i="10" s="1"/>
  <c r="AD35" i="10"/>
  <c r="AE35" i="10" s="1"/>
  <c r="AF35" i="10" s="1"/>
  <c r="AB35" i="10"/>
  <c r="AB34" i="10"/>
  <c r="AA34" i="10"/>
  <c r="AA35" i="10"/>
  <c r="Z35" i="10"/>
  <c r="Z34" i="10"/>
  <c r="Y35" i="10"/>
  <c r="X35" i="10"/>
  <c r="Y34" i="10"/>
  <c r="X34" i="10"/>
  <c r="W34" i="10"/>
  <c r="V34" i="10"/>
  <c r="U28" i="10"/>
  <c r="T35" i="10"/>
  <c r="T34" i="10"/>
  <c r="T38" i="10"/>
  <c r="T37" i="10"/>
  <c r="S35" i="10"/>
  <c r="S34" i="10"/>
  <c r="N34" i="10"/>
  <c r="R34" i="10"/>
  <c r="R27" i="10"/>
  <c r="Q35" i="10"/>
  <c r="Q34" i="10"/>
  <c r="Q37" i="10"/>
  <c r="Q27" i="10"/>
  <c r="P41" i="10"/>
  <c r="P27" i="10"/>
  <c r="O35" i="10"/>
  <c r="O34" i="10"/>
  <c r="N41" i="10"/>
  <c r="N41" i="9"/>
  <c r="N35" i="10"/>
  <c r="M29" i="10"/>
  <c r="I35" i="10"/>
  <c r="K35" i="10"/>
  <c r="K34" i="10"/>
  <c r="J34" i="10"/>
  <c r="J35" i="10"/>
  <c r="M41" i="10" l="1"/>
  <c r="Q41" i="10" s="1"/>
  <c r="H41" i="10"/>
  <c r="G37" i="10"/>
  <c r="L35" i="10"/>
  <c r="L34" i="10" s="1"/>
  <c r="M35" i="10"/>
  <c r="P35" i="10"/>
  <c r="G35" i="10"/>
  <c r="H35" i="10" s="1"/>
  <c r="F35" i="10"/>
  <c r="E35" i="10"/>
  <c r="D35" i="10"/>
  <c r="M34" i="10"/>
  <c r="I34" i="10"/>
  <c r="G34" i="10"/>
  <c r="H34" i="10" s="1"/>
  <c r="F34" i="10"/>
  <c r="E34" i="10"/>
  <c r="D34" i="10"/>
  <c r="H32" i="10"/>
  <c r="H31" i="10"/>
  <c r="H30" i="10"/>
  <c r="H29" i="10"/>
  <c r="M28" i="10"/>
  <c r="H28" i="10"/>
  <c r="M27" i="10"/>
  <c r="N27" i="10" s="1"/>
  <c r="H27" i="10"/>
  <c r="H26" i="10"/>
  <c r="G95" i="10"/>
  <c r="G96" i="10" s="1"/>
  <c r="D80" i="10"/>
  <c r="D76" i="10"/>
  <c r="D58" i="10"/>
  <c r="D57" i="10"/>
  <c r="D56" i="10"/>
  <c r="D55" i="10"/>
  <c r="D51" i="10"/>
  <c r="D50" i="10"/>
  <c r="D49" i="10"/>
  <c r="D48" i="10"/>
  <c r="D47" i="10"/>
  <c r="AB41" i="10"/>
  <c r="U41" i="10"/>
  <c r="R41" i="10"/>
  <c r="AB40" i="10"/>
  <c r="Q40" i="10"/>
  <c r="AB39" i="10"/>
  <c r="Q39" i="10"/>
  <c r="AB38" i="10"/>
  <c r="S38" i="10"/>
  <c r="Q38" i="10"/>
  <c r="AB37" i="10"/>
  <c r="S37" i="10"/>
  <c r="V35" i="10"/>
  <c r="U35" i="10"/>
  <c r="W35" i="10"/>
  <c r="R35" i="10"/>
  <c r="U34" i="10"/>
  <c r="P34" i="10"/>
  <c r="W29" i="10"/>
  <c r="U29" i="10"/>
  <c r="P29" i="10"/>
  <c r="N29" i="10"/>
  <c r="W28" i="10"/>
  <c r="P28" i="10"/>
  <c r="N28" i="10"/>
  <c r="Q28" i="10" s="1"/>
  <c r="W27" i="10"/>
  <c r="U27" i="10"/>
  <c r="G97" i="9"/>
  <c r="G98" i="9" s="1"/>
  <c r="D94" i="9"/>
  <c r="D57" i="9"/>
  <c r="D56" i="9"/>
  <c r="D46" i="9"/>
  <c r="D47" i="9"/>
  <c r="D48" i="9"/>
  <c r="D50" i="9"/>
  <c r="D51" i="9"/>
  <c r="D52" i="9"/>
  <c r="D55" i="9"/>
  <c r="D75" i="9"/>
  <c r="D59" i="9"/>
  <c r="D58" i="9"/>
  <c r="D49" i="9"/>
  <c r="D34" i="9"/>
  <c r="X35" i="9"/>
  <c r="X34" i="9"/>
  <c r="V35" i="9"/>
  <c r="V34" i="9"/>
  <c r="U35" i="9"/>
  <c r="U34" i="9"/>
  <c r="T35" i="9"/>
  <c r="T34" i="9"/>
  <c r="S35" i="9"/>
  <c r="S34" i="9"/>
  <c r="Q35" i="9"/>
  <c r="Q34" i="9"/>
  <c r="Q39" i="9"/>
  <c r="Q38" i="9"/>
  <c r="Q37" i="9"/>
  <c r="O35" i="9"/>
  <c r="O34" i="9"/>
  <c r="N35" i="9"/>
  <c r="N34" i="9"/>
  <c r="N28" i="9"/>
  <c r="N29" i="9"/>
  <c r="N27" i="9"/>
  <c r="L35" i="9"/>
  <c r="M41" i="9"/>
  <c r="M34" i="9"/>
  <c r="M29" i="9"/>
  <c r="M28" i="9"/>
  <c r="M27" i="9"/>
  <c r="K35" i="9"/>
  <c r="M35" i="9" s="1"/>
  <c r="K34" i="9"/>
  <c r="P41" i="9"/>
  <c r="P28" i="9"/>
  <c r="P29" i="9"/>
  <c r="P27" i="9"/>
  <c r="J35" i="9"/>
  <c r="J34" i="9"/>
  <c r="I35" i="9"/>
  <c r="I34" i="9"/>
  <c r="H41" i="9"/>
  <c r="G37" i="9"/>
  <c r="H27" i="9"/>
  <c r="H28" i="9"/>
  <c r="H29" i="9"/>
  <c r="H30" i="9"/>
  <c r="H31" i="9"/>
  <c r="H32" i="9"/>
  <c r="H26" i="9"/>
  <c r="G35" i="9"/>
  <c r="G34" i="9"/>
  <c r="E34" i="9"/>
  <c r="E35" i="9"/>
  <c r="F34" i="9"/>
  <c r="F35" i="9"/>
  <c r="D35" i="9"/>
  <c r="R28" i="10" l="1"/>
  <c r="R29" i="10"/>
  <c r="Q29" i="10"/>
  <c r="G92" i="8" l="1"/>
  <c r="H92" i="8"/>
  <c r="G89" i="8"/>
  <c r="H89" i="8"/>
  <c r="G82" i="8"/>
  <c r="H82" i="8"/>
  <c r="G63" i="8"/>
  <c r="H63" i="8"/>
  <c r="G62" i="8"/>
  <c r="G64" i="8" s="1"/>
  <c r="G93" i="8" s="1"/>
  <c r="H62" i="8"/>
  <c r="H64" i="8" s="1"/>
  <c r="H93" i="8" s="1"/>
  <c r="G40" i="8"/>
  <c r="H40" i="8"/>
  <c r="G35" i="8"/>
  <c r="H35" i="8"/>
  <c r="G29" i="8"/>
  <c r="G30" i="8" s="1"/>
  <c r="H29" i="8"/>
  <c r="H30" i="8" s="1"/>
  <c r="H32" i="8" l="1"/>
  <c r="G32" i="8"/>
  <c r="H83" i="8"/>
  <c r="H94" i="8" s="1"/>
  <c r="G83" i="8"/>
  <c r="G94" i="8" s="1"/>
  <c r="H90" i="8"/>
  <c r="H95" i="8" s="1"/>
  <c r="G90" i="8"/>
  <c r="G95" i="8" s="1"/>
  <c r="H31" i="8"/>
  <c r="G31" i="8"/>
  <c r="R41" i="9" l="1"/>
  <c r="Q41" i="9"/>
  <c r="Q40" i="9"/>
  <c r="Y35" i="9"/>
  <c r="Z35" i="9" s="1"/>
  <c r="AA35" i="9" s="1"/>
  <c r="W35" i="9"/>
  <c r="R35" i="9"/>
  <c r="L34" i="9"/>
  <c r="P35" i="9"/>
  <c r="H35" i="9"/>
  <c r="Y34" i="9"/>
  <c r="Z34" i="9" s="1"/>
  <c r="AA34" i="9" s="1"/>
  <c r="W34" i="9"/>
  <c r="P34" i="9"/>
  <c r="R34" i="9"/>
  <c r="H34" i="9"/>
  <c r="R29" i="9"/>
  <c r="Q29" i="9"/>
  <c r="R28" i="9"/>
  <c r="Q28" i="9"/>
  <c r="R27" i="9"/>
  <c r="Q27" i="9"/>
  <c r="R13" i="11" l="1"/>
  <c r="R12" i="11"/>
  <c r="R11" i="11" s="1"/>
  <c r="R10" i="11"/>
  <c r="P12" i="11"/>
  <c r="P11" i="11" s="1"/>
  <c r="J7" i="11"/>
  <c r="J36" i="11" s="1"/>
  <c r="I7" i="11"/>
  <c r="I34" i="11"/>
  <c r="I35" i="11"/>
  <c r="I33" i="11"/>
  <c r="I36" i="11" l="1"/>
  <c r="P10" i="11" s="1"/>
  <c r="P13" i="11" s="1"/>
  <c r="D54" i="7" l="1"/>
  <c r="D46" i="7"/>
  <c r="D94" i="6"/>
  <c r="D92" i="7"/>
  <c r="D94" i="2"/>
  <c r="G83" i="7"/>
  <c r="G80" i="7"/>
  <c r="D78" i="7"/>
  <c r="D79" i="6"/>
  <c r="G73" i="7"/>
  <c r="D73" i="7"/>
  <c r="D72" i="7"/>
  <c r="AC34" i="7" l="1"/>
  <c r="AC35" i="7"/>
  <c r="AB35" i="7"/>
  <c r="AB34" i="7"/>
  <c r="AA35" i="7"/>
  <c r="AA34" i="7"/>
  <c r="V34" i="6"/>
  <c r="Z35" i="7"/>
  <c r="Z34" i="7"/>
  <c r="Y35" i="7"/>
  <c r="Y34" i="7"/>
  <c r="X35" i="7"/>
  <c r="X34" i="7"/>
  <c r="V35" i="7"/>
  <c r="V34" i="7"/>
  <c r="T35" i="7"/>
  <c r="T34" i="7"/>
  <c r="S35" i="7"/>
  <c r="S34" i="7"/>
  <c r="R34" i="7"/>
  <c r="Q39" i="7"/>
  <c r="Q40" i="7"/>
  <c r="Q35" i="7"/>
  <c r="Q34" i="7"/>
  <c r="O35" i="7"/>
  <c r="O34" i="7"/>
  <c r="N34" i="7"/>
  <c r="N35" i="7"/>
  <c r="K34" i="7"/>
  <c r="K35" i="7"/>
  <c r="M35" i="7" s="1"/>
  <c r="J34" i="7"/>
  <c r="J35" i="7"/>
  <c r="P35" i="7" s="1"/>
  <c r="K35" i="6"/>
  <c r="K34" i="6"/>
  <c r="I34" i="7"/>
  <c r="I35" i="7"/>
  <c r="Q41" i="7"/>
  <c r="H41" i="7"/>
  <c r="Q38" i="7"/>
  <c r="Q37" i="7"/>
  <c r="L35" i="7"/>
  <c r="L34" i="7" s="1"/>
  <c r="G35" i="7"/>
  <c r="H35" i="7" s="1"/>
  <c r="F35" i="7"/>
  <c r="E35" i="7"/>
  <c r="D35" i="7"/>
  <c r="M34" i="7"/>
  <c r="P34" i="7"/>
  <c r="G34" i="7"/>
  <c r="H34" i="7" s="1"/>
  <c r="F34" i="7"/>
  <c r="E34" i="7"/>
  <c r="D34" i="7"/>
  <c r="H32" i="7"/>
  <c r="M30" i="7"/>
  <c r="N30" i="7" s="1"/>
  <c r="Q30" i="7" s="1"/>
  <c r="H30" i="7"/>
  <c r="P29" i="7"/>
  <c r="M29" i="7"/>
  <c r="N29" i="7" s="1"/>
  <c r="Q29" i="7" s="1"/>
  <c r="H29" i="7"/>
  <c r="P28" i="7"/>
  <c r="M28" i="7"/>
  <c r="N28" i="7" s="1"/>
  <c r="Q28" i="7" s="1"/>
  <c r="P27" i="7"/>
  <c r="M27" i="7"/>
  <c r="N27" i="7" s="1"/>
  <c r="Q27" i="7" s="1"/>
  <c r="H27" i="7"/>
  <c r="H26" i="7"/>
  <c r="D80" i="7" l="1"/>
  <c r="D76" i="7"/>
  <c r="D58" i="7"/>
  <c r="D57" i="7"/>
  <c r="D56" i="7"/>
  <c r="D55" i="7"/>
  <c r="D51" i="7"/>
  <c r="D50" i="7"/>
  <c r="D49" i="7"/>
  <c r="D48" i="7"/>
  <c r="D47" i="7"/>
  <c r="AB41" i="7"/>
  <c r="U41" i="7"/>
  <c r="R41" i="7"/>
  <c r="AB40" i="7"/>
  <c r="AB39" i="7"/>
  <c r="AB38" i="7"/>
  <c r="S38" i="7"/>
  <c r="AB37" i="7"/>
  <c r="S37" i="7"/>
  <c r="AD35" i="7"/>
  <c r="AE35" i="7" s="1"/>
  <c r="AF35" i="7" s="1"/>
  <c r="U35" i="7"/>
  <c r="W35" i="7"/>
  <c r="R35" i="7"/>
  <c r="AD34" i="7"/>
  <c r="AE34" i="7" s="1"/>
  <c r="AF34" i="7" s="1"/>
  <c r="U34" i="7"/>
  <c r="W34" i="7"/>
  <c r="W29" i="7"/>
  <c r="U29" i="7"/>
  <c r="W28" i="7"/>
  <c r="U28" i="7"/>
  <c r="W27" i="7"/>
  <c r="U27" i="7"/>
  <c r="D55" i="6"/>
  <c r="D46" i="6"/>
  <c r="G95" i="7" l="1"/>
  <c r="G96" i="7" s="1"/>
  <c r="R27" i="7"/>
  <c r="R30" i="7"/>
  <c r="R29" i="7"/>
  <c r="R28" i="7"/>
  <c r="N89" i="8"/>
  <c r="O89" i="8"/>
  <c r="N82" i="8"/>
  <c r="O82" i="8"/>
  <c r="O35" i="8"/>
  <c r="O29" i="8"/>
  <c r="O30" i="8" s="1"/>
  <c r="N35" i="8"/>
  <c r="N29" i="8"/>
  <c r="N30" i="8" s="1"/>
  <c r="D81" i="6"/>
  <c r="D75" i="6"/>
  <c r="X35" i="6"/>
  <c r="X34" i="6"/>
  <c r="V35" i="6"/>
  <c r="U35" i="6"/>
  <c r="U34" i="6"/>
  <c r="T35" i="6"/>
  <c r="T34" i="6"/>
  <c r="S35" i="6"/>
  <c r="S34" i="6"/>
  <c r="Q35" i="6"/>
  <c r="Q34" i="6"/>
  <c r="O35" i="6"/>
  <c r="O34" i="6"/>
  <c r="N35" i="6"/>
  <c r="N34" i="6"/>
  <c r="M34" i="6"/>
  <c r="J35" i="6"/>
  <c r="J34" i="6"/>
  <c r="I35" i="6"/>
  <c r="I34" i="6"/>
  <c r="G35" i="6"/>
  <c r="G34" i="6"/>
  <c r="E34" i="6"/>
  <c r="E35" i="6"/>
  <c r="O60" i="8" l="1"/>
  <c r="N32" i="8"/>
  <c r="N60" i="8"/>
  <c r="O31" i="8"/>
  <c r="O32" i="8"/>
  <c r="N31" i="8"/>
  <c r="O62" i="8" l="1"/>
  <c r="G97" i="6"/>
  <c r="G98" i="6" s="1"/>
  <c r="N62" i="8" s="1"/>
  <c r="D77" i="6"/>
  <c r="D59" i="6"/>
  <c r="D58" i="6"/>
  <c r="D57" i="6"/>
  <c r="D56" i="6"/>
  <c r="D52" i="6"/>
  <c r="D51" i="6"/>
  <c r="D50" i="6"/>
  <c r="D49" i="6"/>
  <c r="D48" i="6"/>
  <c r="D47" i="6"/>
  <c r="R41" i="6"/>
  <c r="Q41" i="6"/>
  <c r="H41" i="6"/>
  <c r="Q40" i="6"/>
  <c r="Q39" i="6"/>
  <c r="Q38" i="6"/>
  <c r="Q37" i="6"/>
  <c r="Y35" i="6"/>
  <c r="Z35" i="6" s="1"/>
  <c r="AA35" i="6" s="1"/>
  <c r="W35" i="6"/>
  <c r="P35" i="6"/>
  <c r="R35" i="6"/>
  <c r="L35" i="6"/>
  <c r="L34" i="6" s="1"/>
  <c r="M35" i="6"/>
  <c r="H35" i="6"/>
  <c r="F35" i="6"/>
  <c r="D35" i="6"/>
  <c r="Y34" i="6"/>
  <c r="Z34" i="6" s="1"/>
  <c r="AA34" i="6" s="1"/>
  <c r="W34" i="6"/>
  <c r="P34" i="6"/>
  <c r="R34" i="6"/>
  <c r="H34" i="6"/>
  <c r="F34" i="6"/>
  <c r="D34" i="6"/>
  <c r="H32" i="6"/>
  <c r="M30" i="6"/>
  <c r="N30" i="6" s="1"/>
  <c r="Q30" i="6" s="1"/>
  <c r="H30" i="6"/>
  <c r="R29" i="6"/>
  <c r="P29" i="6"/>
  <c r="M29" i="6"/>
  <c r="N29" i="6" s="1"/>
  <c r="Q29" i="6" s="1"/>
  <c r="H29" i="6"/>
  <c r="R28" i="6"/>
  <c r="P28" i="6"/>
  <c r="M28" i="6"/>
  <c r="N28" i="6" s="1"/>
  <c r="Q28" i="6" s="1"/>
  <c r="R27" i="6"/>
  <c r="P27" i="6"/>
  <c r="M27" i="6"/>
  <c r="N27" i="6" s="1"/>
  <c r="Q27" i="6" s="1"/>
  <c r="H27" i="6"/>
  <c r="H26" i="6"/>
  <c r="D54" i="5"/>
  <c r="D51" i="5"/>
  <c r="D50" i="5"/>
  <c r="D49" i="5"/>
  <c r="D48" i="5"/>
  <c r="D47" i="5"/>
  <c r="D46" i="5"/>
  <c r="G83" i="5"/>
  <c r="G95" i="5" s="1"/>
  <c r="G96" i="5" s="1"/>
  <c r="G80" i="5"/>
  <c r="D79" i="4"/>
  <c r="D78" i="5"/>
  <c r="G73" i="5"/>
  <c r="D73" i="5"/>
  <c r="D72" i="5"/>
  <c r="D55" i="5"/>
  <c r="AC35" i="5"/>
  <c r="AC34" i="5"/>
  <c r="AD34" i="5" s="1"/>
  <c r="AE34" i="5" s="1"/>
  <c r="AF34" i="5" s="1"/>
  <c r="AB35" i="5"/>
  <c r="AB34" i="5"/>
  <c r="AA34" i="5"/>
  <c r="AA35" i="5"/>
  <c r="Z35" i="5"/>
  <c r="Z34" i="5"/>
  <c r="Y35" i="5"/>
  <c r="Y34" i="5"/>
  <c r="S35" i="5"/>
  <c r="S34" i="5"/>
  <c r="X35" i="5"/>
  <c r="X34" i="5"/>
  <c r="V35" i="5"/>
  <c r="V34" i="5"/>
  <c r="T35" i="5"/>
  <c r="U35" i="5" s="1"/>
  <c r="T34" i="5"/>
  <c r="Q35" i="5"/>
  <c r="Q34" i="5"/>
  <c r="Q37" i="5"/>
  <c r="O35" i="5"/>
  <c r="O34" i="5"/>
  <c r="K35" i="5"/>
  <c r="K34" i="5"/>
  <c r="M34" i="5" s="1"/>
  <c r="J35" i="5"/>
  <c r="P35" i="5" s="1"/>
  <c r="J34" i="5"/>
  <c r="P34" i="5" s="1"/>
  <c r="M35" i="5"/>
  <c r="I35" i="5"/>
  <c r="I34" i="5"/>
  <c r="N35" i="5"/>
  <c r="N34" i="5"/>
  <c r="R34" i="5" s="1"/>
  <c r="M27" i="5"/>
  <c r="N27" i="5" s="1"/>
  <c r="R27" i="5" s="1"/>
  <c r="D34" i="5"/>
  <c r="M41" i="5"/>
  <c r="Q41" i="5" s="1"/>
  <c r="H41" i="5"/>
  <c r="Q40" i="5"/>
  <c r="Q39" i="5"/>
  <c r="Q38" i="5"/>
  <c r="W35" i="5"/>
  <c r="R35" i="5"/>
  <c r="L35" i="5"/>
  <c r="L34" i="5" s="1"/>
  <c r="G35" i="5"/>
  <c r="H35" i="5" s="1"/>
  <c r="F35" i="5"/>
  <c r="E35" i="5"/>
  <c r="D35" i="5"/>
  <c r="W34" i="5"/>
  <c r="G34" i="5"/>
  <c r="H34" i="5" s="1"/>
  <c r="F34" i="5"/>
  <c r="E34" i="5"/>
  <c r="H32" i="5"/>
  <c r="M30" i="5"/>
  <c r="N30" i="5" s="1"/>
  <c r="Q30" i="5" s="1"/>
  <c r="H30" i="5"/>
  <c r="P29" i="5"/>
  <c r="M29" i="5"/>
  <c r="N29" i="5" s="1"/>
  <c r="H29" i="5"/>
  <c r="P28" i="5"/>
  <c r="M28" i="5"/>
  <c r="N28" i="5" s="1"/>
  <c r="P27" i="5"/>
  <c r="H27" i="5"/>
  <c r="H26" i="5"/>
  <c r="D80" i="5"/>
  <c r="D76" i="5"/>
  <c r="D58" i="5"/>
  <c r="D57" i="5"/>
  <c r="D56" i="5"/>
  <c r="AB41" i="5"/>
  <c r="U41" i="5"/>
  <c r="AB40" i="5"/>
  <c r="AB39" i="5"/>
  <c r="AB38" i="5"/>
  <c r="S38" i="5"/>
  <c r="AB37" i="5"/>
  <c r="S37" i="5"/>
  <c r="AD35" i="5"/>
  <c r="AE35" i="5" s="1"/>
  <c r="AF35" i="5" s="1"/>
  <c r="U34" i="5"/>
  <c r="W29" i="5"/>
  <c r="U29" i="5"/>
  <c r="W28" i="5"/>
  <c r="U28" i="5"/>
  <c r="W27" i="5"/>
  <c r="U27" i="5"/>
  <c r="D55" i="4"/>
  <c r="D59" i="4"/>
  <c r="D58" i="4"/>
  <c r="D50" i="4"/>
  <c r="D49" i="4"/>
  <c r="D48" i="4"/>
  <c r="D47" i="4"/>
  <c r="D46" i="4"/>
  <c r="D52" i="4"/>
  <c r="D77" i="4"/>
  <c r="R30" i="5" l="1"/>
  <c r="R28" i="5"/>
  <c r="Q28" i="5"/>
  <c r="Q29" i="5"/>
  <c r="R29" i="5"/>
  <c r="Q27" i="5"/>
  <c r="R41" i="5"/>
  <c r="D51" i="4"/>
  <c r="M89" i="8"/>
  <c r="M82" i="8"/>
  <c r="M35" i="8"/>
  <c r="M29" i="8"/>
  <c r="M30" i="8" s="1"/>
  <c r="J89" i="8"/>
  <c r="L89" i="8"/>
  <c r="L82" i="8"/>
  <c r="L35" i="8"/>
  <c r="L29" i="8"/>
  <c r="L30" i="8" s="1"/>
  <c r="X35" i="4"/>
  <c r="X34" i="4"/>
  <c r="V35" i="4"/>
  <c r="V34" i="4"/>
  <c r="U35" i="4"/>
  <c r="U34" i="4"/>
  <c r="T35" i="4"/>
  <c r="T34" i="4"/>
  <c r="S34" i="4"/>
  <c r="S35" i="4"/>
  <c r="Q35" i="4"/>
  <c r="Q34" i="4"/>
  <c r="Q38" i="4"/>
  <c r="Q39" i="4"/>
  <c r="Q40" i="4"/>
  <c r="Q37" i="4"/>
  <c r="O35" i="4"/>
  <c r="O34" i="4"/>
  <c r="N35" i="4"/>
  <c r="N34" i="4"/>
  <c r="M41" i="4"/>
  <c r="N41" i="4" s="1"/>
  <c r="M28" i="4"/>
  <c r="N28" i="4" s="1"/>
  <c r="M29" i="4"/>
  <c r="N29" i="4" s="1"/>
  <c r="M30" i="4"/>
  <c r="N30" i="4" s="1"/>
  <c r="Q30" i="4" s="1"/>
  <c r="M27" i="4"/>
  <c r="N27" i="4" s="1"/>
  <c r="K35" i="4"/>
  <c r="M35" i="4" s="1"/>
  <c r="K34" i="4"/>
  <c r="M34" i="4" s="1"/>
  <c r="P28" i="4"/>
  <c r="P29" i="4"/>
  <c r="P27" i="4"/>
  <c r="P41" i="4"/>
  <c r="J35" i="4"/>
  <c r="J34" i="4"/>
  <c r="I35" i="4"/>
  <c r="I34" i="4"/>
  <c r="H41" i="4"/>
  <c r="H32" i="4"/>
  <c r="H30" i="4"/>
  <c r="H29" i="4"/>
  <c r="H27" i="4"/>
  <c r="H26" i="4"/>
  <c r="G35" i="4"/>
  <c r="G34" i="4"/>
  <c r="E35" i="4"/>
  <c r="Q41" i="4" l="1"/>
  <c r="L32" i="8"/>
  <c r="L60" i="8"/>
  <c r="M60" i="8"/>
  <c r="M32" i="8"/>
  <c r="M31" i="8"/>
  <c r="L31" i="8"/>
  <c r="M62" i="8" l="1"/>
  <c r="G97" i="4"/>
  <c r="G98" i="4" s="1"/>
  <c r="L62" i="8" s="1"/>
  <c r="D81" i="4"/>
  <c r="D57" i="4"/>
  <c r="D56" i="4"/>
  <c r="R41" i="4"/>
  <c r="Y35" i="4"/>
  <c r="Z35" i="4" s="1"/>
  <c r="AA35" i="4" s="1"/>
  <c r="W35" i="4"/>
  <c r="R35" i="4"/>
  <c r="L35" i="4"/>
  <c r="L34" i="4" s="1"/>
  <c r="P35" i="4"/>
  <c r="H35" i="4"/>
  <c r="F35" i="4"/>
  <c r="D35" i="4"/>
  <c r="Y34" i="4"/>
  <c r="Z34" i="4" s="1"/>
  <c r="AA34" i="4" s="1"/>
  <c r="W34" i="4"/>
  <c r="R34" i="4"/>
  <c r="P34" i="4"/>
  <c r="H34" i="4"/>
  <c r="F34" i="4"/>
  <c r="E34" i="4"/>
  <c r="D34" i="4"/>
  <c r="R29" i="4"/>
  <c r="Q29" i="4"/>
  <c r="R28" i="4"/>
  <c r="Q28" i="4"/>
  <c r="R27" i="4"/>
  <c r="Q27" i="4"/>
  <c r="D100" i="3"/>
  <c r="D92" i="3"/>
  <c r="D80" i="3"/>
  <c r="G80" i="3"/>
  <c r="G83" i="3"/>
  <c r="D76" i="3"/>
  <c r="D77" i="2"/>
  <c r="G73" i="3"/>
  <c r="D58" i="3"/>
  <c r="D73" i="3"/>
  <c r="D72" i="3"/>
  <c r="D50" i="3"/>
  <c r="D57" i="3" l="1"/>
  <c r="D56" i="2"/>
  <c r="D55" i="3"/>
  <c r="D54" i="3"/>
  <c r="D49" i="3"/>
  <c r="D48" i="3"/>
  <c r="D47" i="3"/>
  <c r="D46" i="3"/>
  <c r="AC35" i="3"/>
  <c r="AD35" i="3" s="1"/>
  <c r="AE35" i="3" s="1"/>
  <c r="AF35" i="3" s="1"/>
  <c r="AC34" i="3"/>
  <c r="AD34" i="3" s="1"/>
  <c r="AE34" i="3" s="1"/>
  <c r="AF34" i="3" s="1"/>
  <c r="AB35" i="3"/>
  <c r="AB34" i="3"/>
  <c r="AB38" i="3"/>
  <c r="AB39" i="3"/>
  <c r="AB40" i="3"/>
  <c r="AB41" i="3"/>
  <c r="AB37" i="3"/>
  <c r="AA34" i="3"/>
  <c r="AA35" i="3"/>
  <c r="Z35" i="3"/>
  <c r="Z34" i="3"/>
  <c r="Y35" i="3"/>
  <c r="Y34" i="3"/>
  <c r="X35" i="3"/>
  <c r="X34" i="3"/>
  <c r="W28" i="3"/>
  <c r="W29" i="3"/>
  <c r="W27" i="3"/>
  <c r="V35" i="3"/>
  <c r="V34" i="3"/>
  <c r="U28" i="3"/>
  <c r="U29" i="3"/>
  <c r="U27" i="3"/>
  <c r="U41" i="3"/>
  <c r="T35" i="3"/>
  <c r="U35" i="3" s="1"/>
  <c r="T34" i="3"/>
  <c r="U34" i="3" s="1"/>
  <c r="S35" i="3"/>
  <c r="S34" i="3"/>
  <c r="S38" i="3"/>
  <c r="S37" i="3"/>
  <c r="R41" i="3"/>
  <c r="R28" i="3"/>
  <c r="R29" i="3"/>
  <c r="R27" i="3"/>
  <c r="O34" i="3"/>
  <c r="W34" i="3" s="1"/>
  <c r="O35" i="3"/>
  <c r="W35" i="3" s="1"/>
  <c r="G95" i="3"/>
  <c r="G96" i="3" s="1"/>
  <c r="D78" i="3"/>
  <c r="D56" i="3"/>
  <c r="Q41" i="3"/>
  <c r="Q40" i="3"/>
  <c r="Q35" i="3"/>
  <c r="N35" i="3"/>
  <c r="R35" i="3" s="1"/>
  <c r="M35" i="3"/>
  <c r="K35" i="3" s="1"/>
  <c r="L35" i="3"/>
  <c r="L34" i="3" s="1"/>
  <c r="J35" i="3"/>
  <c r="P35" i="3" s="1"/>
  <c r="I35" i="3"/>
  <c r="G35" i="3"/>
  <c r="H35" i="3" s="1"/>
  <c r="F35" i="3"/>
  <c r="E35" i="3"/>
  <c r="D35" i="3"/>
  <c r="Q34" i="3"/>
  <c r="N34" i="3"/>
  <c r="R34" i="3" s="1"/>
  <c r="M34" i="3"/>
  <c r="K34" i="3" s="1"/>
  <c r="J34" i="3"/>
  <c r="P34" i="3" s="1"/>
  <c r="I34" i="3"/>
  <c r="G34" i="3"/>
  <c r="H34" i="3" s="1"/>
  <c r="F34" i="3"/>
  <c r="E34" i="3"/>
  <c r="D34" i="3"/>
  <c r="Q29" i="3"/>
  <c r="Q28" i="3"/>
  <c r="Q27" i="3"/>
  <c r="D102" i="2"/>
  <c r="G97" i="2"/>
  <c r="G98" i="2" s="1"/>
  <c r="D81" i="2"/>
  <c r="D79" i="2"/>
  <c r="D50" i="2"/>
  <c r="D57" i="2"/>
  <c r="D59" i="2" l="1"/>
  <c r="D58" i="2"/>
  <c r="D55" i="2"/>
  <c r="D51" i="2"/>
  <c r="D49" i="2"/>
  <c r="D48" i="2"/>
  <c r="D89" i="2" s="1"/>
  <c r="D47" i="2"/>
  <c r="D90" i="2" s="1"/>
  <c r="D46" i="2"/>
  <c r="X35" i="2"/>
  <c r="Y35" i="2" s="1"/>
  <c r="Z35" i="2" s="1"/>
  <c r="AA35" i="2" s="1"/>
  <c r="X34" i="2"/>
  <c r="Y34" i="2" s="1"/>
  <c r="Z34" i="2" s="1"/>
  <c r="AA34" i="2" s="1"/>
  <c r="V34" i="2"/>
  <c r="W34" i="2" s="1"/>
  <c r="V35" i="2"/>
  <c r="W35" i="2" s="1"/>
  <c r="U34" i="2"/>
  <c r="U35" i="2"/>
  <c r="T35" i="2"/>
  <c r="T34" i="2"/>
  <c r="S34" i="2"/>
  <c r="S35" i="2"/>
  <c r="R41" i="2"/>
  <c r="R28" i="2"/>
  <c r="R29" i="2"/>
  <c r="R27" i="2"/>
  <c r="Q34" i="2"/>
  <c r="Q35" i="2"/>
  <c r="Q28" i="2"/>
  <c r="Q29" i="2"/>
  <c r="Q27" i="2"/>
  <c r="Q41" i="2"/>
  <c r="Q40" i="2"/>
  <c r="O34" i="2"/>
  <c r="R34" i="2" s="1"/>
  <c r="O35" i="2"/>
  <c r="R35" i="2" s="1"/>
  <c r="N34" i="2"/>
  <c r="N35" i="2"/>
  <c r="L35" i="2"/>
  <c r="L34" i="2" s="1"/>
  <c r="M35" i="2"/>
  <c r="K35" i="2" s="1"/>
  <c r="M34" i="2"/>
  <c r="K34" i="2" s="1"/>
  <c r="J35" i="2"/>
  <c r="P35" i="2" s="1"/>
  <c r="J34" i="2"/>
  <c r="P34" i="2" s="1"/>
  <c r="I34" i="2"/>
  <c r="I35" i="2"/>
  <c r="G35" i="2" l="1"/>
  <c r="H35" i="2" s="1"/>
  <c r="G34" i="2"/>
  <c r="H34" i="2" s="1"/>
  <c r="E35" i="2"/>
  <c r="E34" i="2"/>
  <c r="F35" i="2"/>
  <c r="F34" i="2"/>
  <c r="D35" i="2"/>
  <c r="D34" i="2"/>
  <c r="J82" i="8" l="1"/>
  <c r="J35" i="8"/>
  <c r="J29" i="8"/>
  <c r="I63" i="8"/>
  <c r="J63" i="8" s="1"/>
  <c r="K63" i="8" s="1"/>
  <c r="L63" i="8" s="1"/>
  <c r="I29" i="8"/>
  <c r="J30" i="8" l="1"/>
  <c r="J60" i="8"/>
  <c r="M63" i="8"/>
  <c r="N63" i="8" s="1"/>
  <c r="J31" i="8"/>
  <c r="J32" i="8"/>
  <c r="J62" i="8" l="1"/>
  <c r="K60" i="8"/>
  <c r="K62" i="8" s="1"/>
  <c r="O63" i="8"/>
  <c r="I89" i="8"/>
  <c r="I82" i="8"/>
  <c r="I38" i="8"/>
  <c r="J38" i="8" s="1"/>
  <c r="K38" i="8" s="1"/>
  <c r="L38" i="8" s="1"/>
  <c r="I30" i="8"/>
  <c r="I41" i="8"/>
  <c r="J41" i="8" s="1"/>
  <c r="K41" i="8" s="1"/>
  <c r="E89" i="8"/>
  <c r="D89" i="8"/>
  <c r="D82" i="8"/>
  <c r="E81" i="8"/>
  <c r="E82" i="8" s="1"/>
  <c r="E61" i="8"/>
  <c r="D61" i="8"/>
  <c r="D62" i="8" s="1"/>
  <c r="D64" i="8" s="1"/>
  <c r="D93" i="8" s="1"/>
  <c r="E60" i="8"/>
  <c r="E49" i="8"/>
  <c r="E41" i="8"/>
  <c r="E36" i="8"/>
  <c r="D36" i="8"/>
  <c r="E34" i="8"/>
  <c r="K36" i="8" s="1"/>
  <c r="D34" i="8"/>
  <c r="E28" i="8"/>
  <c r="E29" i="8" s="1"/>
  <c r="E30" i="8" s="1"/>
  <c r="D28" i="8"/>
  <c r="D29" i="8" s="1"/>
  <c r="D30" i="8" s="1"/>
  <c r="K37" i="8" l="1"/>
  <c r="K99" i="8" s="1"/>
  <c r="K96" i="8"/>
  <c r="K64" i="8"/>
  <c r="K93" i="8" s="1"/>
  <c r="K40" i="8"/>
  <c r="K42" i="8" s="1"/>
  <c r="K92" i="8" s="1"/>
  <c r="K97" i="8" s="1"/>
  <c r="K90" i="8"/>
  <c r="K95" i="8" s="1"/>
  <c r="K83" i="8"/>
  <c r="K94" i="8" s="1"/>
  <c r="K39" i="8"/>
  <c r="H39" i="8"/>
  <c r="G39" i="8"/>
  <c r="H36" i="8"/>
  <c r="G36" i="8"/>
  <c r="M38" i="8"/>
  <c r="N38" i="8" s="1"/>
  <c r="O38" i="8" s="1"/>
  <c r="N36" i="8"/>
  <c r="O36" i="8"/>
  <c r="O39" i="8"/>
  <c r="N39" i="8"/>
  <c r="I39" i="8"/>
  <c r="I60" i="8"/>
  <c r="I62" i="8" s="1"/>
  <c r="I64" i="8" s="1"/>
  <c r="I93" i="8" s="1"/>
  <c r="M36" i="8"/>
  <c r="L36" i="8"/>
  <c r="J36" i="8"/>
  <c r="I36" i="8"/>
  <c r="I96" i="8" s="1"/>
  <c r="L41" i="8"/>
  <c r="J90" i="8"/>
  <c r="J95" i="8" s="1"/>
  <c r="J83" i="8"/>
  <c r="J94" i="8" s="1"/>
  <c r="J64" i="8"/>
  <c r="J93" i="8" s="1"/>
  <c r="J40" i="8"/>
  <c r="D40" i="8"/>
  <c r="D42" i="8" s="1"/>
  <c r="D92" i="8" s="1"/>
  <c r="M39" i="8"/>
  <c r="L39" i="8"/>
  <c r="J39" i="8"/>
  <c r="I90" i="8"/>
  <c r="I95" i="8" s="1"/>
  <c r="I83" i="8"/>
  <c r="I94" i="8" s="1"/>
  <c r="I32" i="8"/>
  <c r="I40" i="8"/>
  <c r="I42" i="8" s="1"/>
  <c r="I92" i="8" s="1"/>
  <c r="I35" i="8"/>
  <c r="I31" i="8" s="1"/>
  <c r="D37" i="8"/>
  <c r="D99" i="8" s="1"/>
  <c r="E40" i="8"/>
  <c r="E42" i="8" s="1"/>
  <c r="E92" i="8" s="1"/>
  <c r="E83" i="8"/>
  <c r="E94" i="8" s="1"/>
  <c r="E37" i="8"/>
  <c r="E99" i="8" s="1"/>
  <c r="E62" i="8"/>
  <c r="E64" i="8" s="1"/>
  <c r="E93" i="8" s="1"/>
  <c r="D32" i="8"/>
  <c r="D83" i="8"/>
  <c r="D94" i="8" s="1"/>
  <c r="D90" i="8"/>
  <c r="D95" i="8" s="1"/>
  <c r="E32" i="8"/>
  <c r="E39" i="8"/>
  <c r="E90" i="8"/>
  <c r="E95" i="8" s="1"/>
  <c r="E35" i="8"/>
  <c r="E31" i="8" s="1"/>
  <c r="D35" i="8"/>
  <c r="D31" i="8" s="1"/>
  <c r="G37" i="8" l="1"/>
  <c r="G99" i="8" s="1"/>
  <c r="G96" i="8"/>
  <c r="G97" i="8" s="1"/>
  <c r="H37" i="8"/>
  <c r="H99" i="8" s="1"/>
  <c r="H96" i="8"/>
  <c r="H97" i="8" s="1"/>
  <c r="J42" i="8"/>
  <c r="M37" i="8"/>
  <c r="M99" i="8" s="1"/>
  <c r="M96" i="8"/>
  <c r="O37" i="8"/>
  <c r="O99" i="8" s="1"/>
  <c r="O96" i="8"/>
  <c r="N96" i="8"/>
  <c r="N37" i="8"/>
  <c r="N99" i="8" s="1"/>
  <c r="I97" i="8"/>
  <c r="L40" i="8"/>
  <c r="L42" i="8" s="1"/>
  <c r="L92" i="8" s="1"/>
  <c r="M41" i="8"/>
  <c r="N41" i="8" s="1"/>
  <c r="L90" i="8"/>
  <c r="L95" i="8" s="1"/>
  <c r="L83" i="8"/>
  <c r="L94" i="8" s="1"/>
  <c r="L64" i="8"/>
  <c r="L93" i="8" s="1"/>
  <c r="J37" i="8"/>
  <c r="J96" i="8"/>
  <c r="I37" i="8"/>
  <c r="I99" i="8" s="1"/>
  <c r="L96" i="8"/>
  <c r="L37" i="8"/>
  <c r="L99" i="8" s="1"/>
  <c r="E97" i="8"/>
  <c r="D97" i="8"/>
  <c r="K101" i="8" s="1"/>
  <c r="K100" i="8" l="1"/>
  <c r="K98" i="8"/>
  <c r="J92" i="8"/>
  <c r="J97" i="8" s="1"/>
  <c r="G100" i="8"/>
  <c r="G98" i="8"/>
  <c r="G101" i="8"/>
  <c r="J99" i="8"/>
  <c r="H98" i="8"/>
  <c r="H100" i="8"/>
  <c r="H101" i="8"/>
  <c r="I98" i="8"/>
  <c r="N40" i="8"/>
  <c r="N42" i="8" s="1"/>
  <c r="N92" i="8" s="1"/>
  <c r="O41" i="8"/>
  <c r="N90" i="8"/>
  <c r="N95" i="8" s="1"/>
  <c r="N83" i="8"/>
  <c r="N94" i="8" s="1"/>
  <c r="N64" i="8"/>
  <c r="N93" i="8" s="1"/>
  <c r="E100" i="8"/>
  <c r="M40" i="8"/>
  <c r="M42" i="8" s="1"/>
  <c r="M92" i="8" s="1"/>
  <c r="M90" i="8"/>
  <c r="M95" i="8" s="1"/>
  <c r="M83" i="8"/>
  <c r="M94" i="8" s="1"/>
  <c r="M64" i="8"/>
  <c r="M93" i="8" s="1"/>
  <c r="L97" i="8"/>
  <c r="I100" i="8"/>
  <c r="I101" i="8"/>
  <c r="E101" i="8"/>
  <c r="E98" i="8"/>
  <c r="J100" i="8" l="1"/>
  <c r="J101" i="8"/>
  <c r="J98" i="8"/>
  <c r="O40" i="8"/>
  <c r="O42" i="8" s="1"/>
  <c r="O92" i="8" s="1"/>
  <c r="O90" i="8"/>
  <c r="O95" i="8" s="1"/>
  <c r="O83" i="8"/>
  <c r="O94" i="8" s="1"/>
  <c r="O64" i="8"/>
  <c r="O93" i="8" s="1"/>
  <c r="M97" i="8"/>
  <c r="M101" i="8" s="1"/>
  <c r="N97" i="8"/>
  <c r="M98" i="8"/>
  <c r="L100" i="8"/>
  <c r="L101" i="8"/>
  <c r="L98" i="8"/>
  <c r="M100" i="8" l="1"/>
  <c r="N98" i="8"/>
  <c r="N100" i="8"/>
  <c r="N101" i="8"/>
  <c r="O97" i="8"/>
  <c r="O101" i="8" l="1"/>
  <c r="O100" i="8"/>
  <c r="O9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Matthias Fripp</author>
  </authors>
  <commentList>
    <comment ref="C26" authorId="0" shapeId="0" xr:uid="{A0893E64-C861-4875-BD47-4C5762926A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Part of FGD</t>
        </r>
      </text>
    </comment>
    <comment ref="C33" authorId="1" shapeId="0" xr:uid="{81C03473-3EB0-8644-AC50-F13DAA00654C}">
      <text>
        <r>
          <rPr>
            <sz val="10"/>
            <color rgb="FF000000"/>
            <rFont val="Tahoma"/>
            <family val="2"/>
          </rPr>
          <t>Heat rate for work done, including power diverted to CCS system (since Switch models this as a plant with the original capacity and then adds an extra load for the CCS system).</t>
        </r>
      </text>
    </comment>
  </commentList>
</comments>
</file>

<file path=xl/sharedStrings.xml><?xml version="1.0" encoding="utf-8"?>
<sst xmlns="http://schemas.openxmlformats.org/spreadsheetml/2006/main" count="1319" uniqueCount="332">
  <si>
    <t>Stream Table</t>
  </si>
  <si>
    <t xml:space="preserve">V-L Mole Fraction </t>
  </si>
  <si>
    <t>Ar</t>
  </si>
  <si>
    <t>CO2</t>
  </si>
  <si>
    <t>H2O</t>
  </si>
  <si>
    <t>N2</t>
  </si>
  <si>
    <t>NH3</t>
  </si>
  <si>
    <t>O2</t>
  </si>
  <si>
    <t>V-F Flowrate (kgmol/hr)</t>
  </si>
  <si>
    <t>V-L Flowrate (kg/hr)</t>
  </si>
  <si>
    <r>
      <t>Temperature (</t>
    </r>
    <r>
      <rPr>
        <sz val="11"/>
        <color theme="1"/>
        <rFont val="Calibri"/>
        <family val="2"/>
      </rPr>
      <t>°C)</t>
    </r>
  </si>
  <si>
    <t>Pressure (bar, abs)</t>
  </si>
  <si>
    <t>AspenPlus Enthalpy (kJ/kg)</t>
  </si>
  <si>
    <t>Density (kg/m3)</t>
  </si>
  <si>
    <t>V-L Molecular Weight</t>
  </si>
  <si>
    <t>EEDIDA</t>
  </si>
  <si>
    <t>Flue gas flowrate as reported in Case B23B was scaled down to achieve a net plant power output of 650 MW</t>
  </si>
  <si>
    <t>Scaling factor</t>
  </si>
  <si>
    <t>No Capture</t>
  </si>
  <si>
    <t>Cansolv</t>
  </si>
  <si>
    <t>Fuel Costs</t>
  </si>
  <si>
    <t>NETL B12A</t>
  </si>
  <si>
    <t>NETL B12B</t>
  </si>
  <si>
    <t>TOTAL (STEAM TURBINE) POWER, kWe</t>
  </si>
  <si>
    <t>AUXILIARY LOAD SUMMARY, kWe</t>
  </si>
  <si>
    <t>Activated caron injection</t>
  </si>
  <si>
    <t>Ash handling</t>
  </si>
  <si>
    <t>Baghouse</t>
  </si>
  <si>
    <t>Circulating water pumps</t>
  </si>
  <si>
    <t>CO2 capture/removal auxiliaries</t>
  </si>
  <si>
    <t>CO2 compression</t>
  </si>
  <si>
    <t>Coal handling and converying</t>
  </si>
  <si>
    <t>Condensate pumps</t>
  </si>
  <si>
    <t>Cooling tower fans</t>
  </si>
  <si>
    <t>Dry sorbent injection</t>
  </si>
  <si>
    <t>Flue Gas Desulfurizer</t>
  </si>
  <si>
    <t>Forced draft fans</t>
  </si>
  <si>
    <t>Ground water pumps</t>
  </si>
  <si>
    <t>Induced draft fans</t>
  </si>
  <si>
    <t>Miscellaneous balance of plant</t>
  </si>
  <si>
    <t>Primary air fans</t>
  </si>
  <si>
    <t>Pulverizers</t>
  </si>
  <si>
    <t>SCR</t>
  </si>
  <si>
    <t>Sorbent handling &amp; Reagent Preparation</t>
  </si>
  <si>
    <t>Spray Dryer Evaporator</t>
  </si>
  <si>
    <t>Steam turbine auxiliaries</t>
  </si>
  <si>
    <t>Transformer losses</t>
  </si>
  <si>
    <t>TOTAL AUXILIARIES, kWe</t>
  </si>
  <si>
    <t>NET POWER, kWe</t>
  </si>
  <si>
    <t>Net Plant Efficiency (HHV)</t>
  </si>
  <si>
    <t>HHV Net Plant Heat Rate (Btu/kWh)</t>
  </si>
  <si>
    <t>As-Received Coal Feed (kg/hr)</t>
  </si>
  <si>
    <t>Thermal Imput, kWt</t>
  </si>
  <si>
    <t>Total CO2 Production Rate (kg/hr)</t>
  </si>
  <si>
    <t>CO2 Emission (lb/MWh-net)</t>
  </si>
  <si>
    <t>Percent CO2 capture (%)</t>
  </si>
  <si>
    <t>Coal Increase per Net Power</t>
  </si>
  <si>
    <t>Annual Fuel Cost ($MM/year)</t>
  </si>
  <si>
    <t>Utilization Factor</t>
  </si>
  <si>
    <t>Fuel Cost (¢/kWe-hr)</t>
  </si>
  <si>
    <t>Total Capital Cost ($/kWe)</t>
  </si>
  <si>
    <t>Non-Carbon Capture Components:</t>
  </si>
  <si>
    <t>Coal &amp; Sorbent Handling</t>
  </si>
  <si>
    <t>Coal &amp; Sorbent Feed</t>
  </si>
  <si>
    <t>Feedwater &amp; Misc. Equip.</t>
  </si>
  <si>
    <t>PC Bolier &amp; Accessories</t>
  </si>
  <si>
    <t>5A</t>
  </si>
  <si>
    <t>Flue Gas Cleanup</t>
  </si>
  <si>
    <t>Duct &amp; Stack</t>
  </si>
  <si>
    <t>Steam Turbine &amp; HRSG</t>
  </si>
  <si>
    <t>Cooling Water System</t>
  </si>
  <si>
    <t>Ash/Spent Sorbent Handling</t>
  </si>
  <si>
    <t>Accessory Electric Plant</t>
  </si>
  <si>
    <t>Instrumentation &amp; Control</t>
  </si>
  <si>
    <t>Improvement &amp; Site</t>
  </si>
  <si>
    <t>Building &amp; Structure</t>
  </si>
  <si>
    <t>Carbon Capture Components:</t>
  </si>
  <si>
    <t>5B.1</t>
  </si>
  <si>
    <t>CO2 Removal System</t>
  </si>
  <si>
    <t>5B.2</t>
  </si>
  <si>
    <t>CO2 Compressor &amp; Drying</t>
  </si>
  <si>
    <t>Owner's Cost</t>
  </si>
  <si>
    <t>Total Overnight Cost ($/kWe)</t>
  </si>
  <si>
    <t>Capital Charge Factor</t>
  </si>
  <si>
    <r>
      <t>Capital Cost (</t>
    </r>
    <r>
      <rPr>
        <b/>
        <sz val="11"/>
        <color indexed="8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/kWe-hr)</t>
    </r>
  </si>
  <si>
    <t>Variable Costs ($k/yr)</t>
  </si>
  <si>
    <t>Non-Capture Systems:</t>
  </si>
  <si>
    <t>Maintenance Material</t>
  </si>
  <si>
    <t>Water</t>
  </si>
  <si>
    <t>Makeup and WWT Chemicals</t>
  </si>
  <si>
    <t>Brominated Activated Carbon</t>
  </si>
  <si>
    <t>Enhanced Hydrated Lime</t>
  </si>
  <si>
    <t>Limestone</t>
  </si>
  <si>
    <t>Ammonia (19% NH3)</t>
  </si>
  <si>
    <t>SCR Catalyst</t>
  </si>
  <si>
    <t>Fly Ash Disposal</t>
  </si>
  <si>
    <t>Bottom Ash Disposal</t>
  </si>
  <si>
    <t>SCR Catalyst Disposal</t>
  </si>
  <si>
    <t>Capture Systems</t>
  </si>
  <si>
    <t>Triethylene Glycol</t>
  </si>
  <si>
    <t>Waste Disposal</t>
  </si>
  <si>
    <t>Total Variable Cost ($k/yr)</t>
  </si>
  <si>
    <t>Variable Operating Cost (¢/kWe-hr)</t>
  </si>
  <si>
    <t>Fixed Operating Costs ($k/yr)</t>
  </si>
  <si>
    <t>Operating labor</t>
  </si>
  <si>
    <t>Maintenance Labor</t>
  </si>
  <si>
    <t>Administrative &amp; Support Labor</t>
  </si>
  <si>
    <t>Property Taxes and Insurance</t>
  </si>
  <si>
    <t>Total Fixed Operating Cost ($k/yr)</t>
  </si>
  <si>
    <t>Fixed Operating Cost (¢/kWe-hr)</t>
  </si>
  <si>
    <t>Summary of Costs (¢/kWe-hr)</t>
  </si>
  <si>
    <t>Fuel Cost</t>
  </si>
  <si>
    <t>Capital Cost</t>
  </si>
  <si>
    <t>Variable Cost</t>
  </si>
  <si>
    <t>Fixed Operating Cost</t>
  </si>
  <si>
    <t>Transp, Seques &amp; Monitoring</t>
  </si>
  <si>
    <t>Total</t>
  </si>
  <si>
    <t>Increase versus No Capture</t>
  </si>
  <si>
    <t>CO2 Emission (tonne/MWe-hr)</t>
  </si>
  <si>
    <t>Breakeven CO2 Sales Price ($/tonne CO2)</t>
  </si>
  <si>
    <t>Breakeven CO2 Emission Penalty ($/tonne CO2)</t>
  </si>
  <si>
    <t>From simulation (Aspen Plus)</t>
  </si>
  <si>
    <t>Calculated from other variables</t>
  </si>
  <si>
    <t>From Aspen Economic Analyzer</t>
  </si>
  <si>
    <t>Based on NETL Case B12B, proportional to coal/CO2/CW flow rate</t>
  </si>
  <si>
    <t>Same as NETL Case B12B</t>
  </si>
  <si>
    <t>SS</t>
  </si>
  <si>
    <t>TSF</t>
  </si>
  <si>
    <t>MPMPA</t>
  </si>
  <si>
    <t>MPMEA</t>
  </si>
  <si>
    <t>Assumptions</t>
  </si>
  <si>
    <t>1, 3</t>
  </si>
  <si>
    <t>Utility Consumption</t>
  </si>
  <si>
    <t>NH3 Compressor</t>
  </si>
  <si>
    <t>Lean Solvent Pump</t>
  </si>
  <si>
    <t>Rich Solvent Pump</t>
  </si>
  <si>
    <t>Wash Section Pump</t>
  </si>
  <si>
    <t>Flue Gas Blower</t>
  </si>
  <si>
    <t xml:space="preserve">Electricity </t>
  </si>
  <si>
    <t>kW</t>
  </si>
  <si>
    <t xml:space="preserve">Cooling Water </t>
  </si>
  <si>
    <t>CO2 Compressor</t>
  </si>
  <si>
    <t>GJ/hr</t>
  </si>
  <si>
    <t>Absorber Intercoolers</t>
  </si>
  <si>
    <t>NH3 Refrigeration Cycle</t>
  </si>
  <si>
    <t>Trim Cooler</t>
  </si>
  <si>
    <t>Stripper Condenser</t>
  </si>
  <si>
    <t>DCC CW Cooler</t>
  </si>
  <si>
    <t>Scale</t>
  </si>
  <si>
    <t>Blowers/Compressors</t>
  </si>
  <si>
    <t xml:space="preserve">Equipment List </t>
  </si>
  <si>
    <t>Equipment cost of key equipment in the CO2 capture unit was estimated using Aspen Process Economic Analyzer V11 in 2018 Q1 US dollar basis.</t>
  </si>
  <si>
    <t>Capital cost of CO2 compressor was scaled based on Case B12B in Rev 4 report with a scaling factor of 0.84.</t>
  </si>
  <si>
    <t>CEPCI was used to convert 2018 Q1 dollar to 2018 Dec dollor; a factor of 3.699, the same as Base B12B, was used to calculate total plant cost from equipment cost.</t>
  </si>
  <si>
    <t>Spare</t>
  </si>
  <si>
    <t>Total Equipment Cost (2018 Q1 $)</t>
  </si>
  <si>
    <t>Heat Exchangers</t>
  </si>
  <si>
    <t>Absorber Intercooler 1</t>
  </si>
  <si>
    <t>Absorber Intercooler 2</t>
  </si>
  <si>
    <t>Solvent Cross Exchanger</t>
  </si>
  <si>
    <t>Stripper Reboiler</t>
  </si>
  <si>
    <t>Wash Column Cooler</t>
  </si>
  <si>
    <t>Absorber Overhead Accumulator</t>
  </si>
  <si>
    <t>Pumps</t>
  </si>
  <si>
    <t>DCC Bulk Cooler Pump</t>
  </si>
  <si>
    <t>DCC Chilling Stage Pump</t>
  </si>
  <si>
    <t>Reflux Pump</t>
  </si>
  <si>
    <t>Refrigeration Plant</t>
  </si>
  <si>
    <t>Others</t>
  </si>
  <si>
    <t>Equipment Cost (2018Q1)</t>
  </si>
  <si>
    <t>DCC Chilling Water Cooler</t>
  </si>
  <si>
    <t>Lean Solvent Trim Cooler</t>
  </si>
  <si>
    <t>Stripper Reflux Pump</t>
  </si>
  <si>
    <t>*</t>
  </si>
  <si>
    <t>Cost was estimated based on previous collaboration with Fluor on other solvents.</t>
  </si>
  <si>
    <t>m, Height</t>
  </si>
  <si>
    <t>m, Diameter</t>
  </si>
  <si>
    <t>Lean Solvent Filter **</t>
  </si>
  <si>
    <t>Miscellaneous **</t>
  </si>
  <si>
    <t>**</t>
  </si>
  <si>
    <t>For columns, packing size is listed.</t>
  </si>
  <si>
    <t>Solvent Storage Tanks</t>
  </si>
  <si>
    <t>ton</t>
  </si>
  <si>
    <t xml:space="preserve">Columns/Vessels </t>
  </si>
  <si>
    <t>Direct Contact Cooler *</t>
  </si>
  <si>
    <t>Absorber *</t>
  </si>
  <si>
    <t>Stripper *</t>
  </si>
  <si>
    <t>Total Equipment Cost (2018 Dec $)</t>
  </si>
  <si>
    <t>Total Plant Cost (2018 Dec $)</t>
  </si>
  <si>
    <t>Carbon Dioxide Removal</t>
  </si>
  <si>
    <t>Flash Condensers</t>
  </si>
  <si>
    <t>HP/ LP Flash Heaters</t>
  </si>
  <si>
    <t>HP/LP Flash Condenser</t>
  </si>
  <si>
    <t>HP/LP Condensate Drums</t>
  </si>
  <si>
    <t>Lean Solvent Filter ***</t>
  </si>
  <si>
    <t>Miscellaneous ***</t>
  </si>
  <si>
    <t>HP / LP Flash Drums **</t>
  </si>
  <si>
    <t>***</t>
  </si>
  <si>
    <t>Packing is required in the LP flash drum</t>
  </si>
  <si>
    <t>Steam consumption for solvent regeneration was reported in the Stream Table; Note that LP steam instead of IP steam is used because of the low regeneration temperature</t>
  </si>
  <si>
    <t>Temperature (°C)</t>
  </si>
  <si>
    <t>1, 4</t>
  </si>
  <si>
    <t>Chemicals (Solvent, NaOH, H2SO4)</t>
  </si>
  <si>
    <t>1, 6</t>
  </si>
  <si>
    <t>Solvent cost is set to $10/kg. The consumption of NaOH and H2SO4 is calculated based on NETL Case 12, proportional to plant scale.</t>
  </si>
  <si>
    <t>MEA</t>
  </si>
  <si>
    <t>Listed Below</t>
  </si>
  <si>
    <t>Equipment Cost</t>
  </si>
  <si>
    <t>Direct Cost</t>
  </si>
  <si>
    <t>Model in APEA</t>
  </si>
  <si>
    <t>EFN CENT TURBO</t>
  </si>
  <si>
    <t>DHE FLOAT HEAD</t>
  </si>
  <si>
    <t>DHE PLAT FRAM</t>
  </si>
  <si>
    <t>DRB U TUBE</t>
  </si>
  <si>
    <t xml:space="preserve">DTW PACKED    </t>
  </si>
  <si>
    <t>DHR HORIZ DRUM</t>
  </si>
  <si>
    <t xml:space="preserve">DCP CENTRIF   </t>
  </si>
  <si>
    <t>DVT STORAGE</t>
  </si>
  <si>
    <t xml:space="preserve">Absorber Intercooler </t>
  </si>
  <si>
    <t>Tag</t>
  </si>
  <si>
    <t>F-6205</t>
  </si>
  <si>
    <t>T-6210</t>
  </si>
  <si>
    <t>EX-6230</t>
  </si>
  <si>
    <t>EC-6265</t>
  </si>
  <si>
    <t>T-6240</t>
  </si>
  <si>
    <t>EC-6245</t>
  </si>
  <si>
    <t>EC-6220</t>
  </si>
  <si>
    <t>APEA V10</t>
  </si>
  <si>
    <t>Number of Train = 2</t>
  </si>
  <si>
    <t>Scale (1 of 2 trains)</t>
  </si>
  <si>
    <t>T-6410</t>
  </si>
  <si>
    <t xml:space="preserve"> </t>
  </si>
  <si>
    <t>Total Cost - 1 train (2016 Q1 $)</t>
  </si>
  <si>
    <t>T-6210A</t>
  </si>
  <si>
    <t>Absorber Water Wash</t>
  </si>
  <si>
    <t>Stripper Condensate Drum</t>
  </si>
  <si>
    <t>D-6250</t>
  </si>
  <si>
    <t>P-6415</t>
  </si>
  <si>
    <t>P-6215</t>
  </si>
  <si>
    <t>P-6225</t>
  </si>
  <si>
    <t>P-6260</t>
  </si>
  <si>
    <t>P-6255</t>
  </si>
  <si>
    <t>EC-6420</t>
  </si>
  <si>
    <t>NETL Rev 2a Case 12</t>
  </si>
  <si>
    <t>Acct</t>
  </si>
  <si>
    <t>No.</t>
  </si>
  <si>
    <t>5B</t>
  </si>
  <si>
    <t>Item/Description</t>
  </si>
  <si>
    <t>CO2 Removal &amp; Compression</t>
  </si>
  <si>
    <t>Equipment</t>
  </si>
  <si>
    <t>Cost</t>
  </si>
  <si>
    <t>Cost Basis</t>
  </si>
  <si>
    <t>2007 Jun</t>
  </si>
  <si>
    <t>x1000</t>
  </si>
  <si>
    <t xml:space="preserve">Material </t>
  </si>
  <si>
    <t>Labor</t>
  </si>
  <si>
    <t>Direct</t>
  </si>
  <si>
    <t>Indirect</t>
  </si>
  <si>
    <t>Sales</t>
  </si>
  <si>
    <t>Tax</t>
  </si>
  <si>
    <t>Bare Erected</t>
  </si>
  <si>
    <t>Eng'g CM</t>
  </si>
  <si>
    <t>H.O. &amp; Fee</t>
  </si>
  <si>
    <t>Contigencies</t>
  </si>
  <si>
    <t>Process</t>
  </si>
  <si>
    <t>Project</t>
  </si>
  <si>
    <t>Total Plant Cost</t>
  </si>
  <si>
    <t>$</t>
  </si>
  <si>
    <t>Cases</t>
  </si>
  <si>
    <t>2016 Q1</t>
  </si>
  <si>
    <t>CEPCI</t>
  </si>
  <si>
    <t xml:space="preserve">NETL Rev2a </t>
  </si>
  <si>
    <t xml:space="preserve">NETL Rev2a' </t>
  </si>
  <si>
    <t># of Trains</t>
  </si>
  <si>
    <t>NETL Rev 3 w/ CEPCI</t>
  </si>
  <si>
    <t>Equipment Cost, MM$</t>
  </si>
  <si>
    <t>Bare Erected Cost, MM$</t>
  </si>
  <si>
    <t>Error, %</t>
  </si>
  <si>
    <t>EEMPA</t>
  </si>
  <si>
    <t>LCOE Estimates for Carbon Capture Technologies using NETL Reference Cases (B12A, B12B, Rev4, Dec 2018), Carbon Capture Rate = 90%</t>
  </si>
  <si>
    <t>Process Flow Diagram of PC Boiler in Apsen Plus</t>
  </si>
  <si>
    <t>Process Flow Diagram of Steam Cycle in Apsen Plus</t>
  </si>
  <si>
    <t>Process Flow Diagram of Cooling Tower System in Aspen Plus</t>
  </si>
  <si>
    <t>Process Flow Diagram of CO2 compressor in Aspen Plus</t>
  </si>
  <si>
    <t>NETL Rev 2a Case 12: MEA, 550 MW, 90% Carbon Capture</t>
  </si>
  <si>
    <t>Process Flow Diagram</t>
  </si>
  <si>
    <t>Component ID</t>
  </si>
  <si>
    <t>Type</t>
  </si>
  <si>
    <t>Component name</t>
  </si>
  <si>
    <t>Alias</t>
  </si>
  <si>
    <t>Conventional</t>
  </si>
  <si>
    <t>WATER</t>
  </si>
  <si>
    <t>CARBON-DIOXIDE</t>
  </si>
  <si>
    <t>NITROGEN</t>
  </si>
  <si>
    <t>OXYGEN</t>
  </si>
  <si>
    <t>AR</t>
  </si>
  <si>
    <t>ARGON</t>
  </si>
  <si>
    <t>HCO3-</t>
  </si>
  <si>
    <t>CO3--</t>
  </si>
  <si>
    <t>CO3-2</t>
  </si>
  <si>
    <t>H3O+</t>
  </si>
  <si>
    <t>OH-</t>
  </si>
  <si>
    <t>EEDID</t>
  </si>
  <si>
    <t>EEDIDCO-</t>
  </si>
  <si>
    <t>EEDIDACOO-</t>
  </si>
  <si>
    <t>EEDIDH1+</t>
  </si>
  <si>
    <t>EEDIDAH1+</t>
  </si>
  <si>
    <t>EEDIDH2+</t>
  </si>
  <si>
    <t>EEDIDAH2+</t>
  </si>
  <si>
    <t>BOL</t>
  </si>
  <si>
    <t>B-ORGLIQ</t>
  </si>
  <si>
    <t>COAL</t>
  </si>
  <si>
    <t>Nonconventional</t>
  </si>
  <si>
    <t>ASH</t>
  </si>
  <si>
    <t>SILICON-DIOXIDE</t>
  </si>
  <si>
    <t>SIO2</t>
  </si>
  <si>
    <t>C</t>
  </si>
  <si>
    <t>CARBON-GRAPHITE</t>
  </si>
  <si>
    <t>S</t>
  </si>
  <si>
    <t>SULFUR</t>
  </si>
  <si>
    <t>H2</t>
  </si>
  <si>
    <t>HYDROGEN</t>
  </si>
  <si>
    <t>SO2</t>
  </si>
  <si>
    <t>SULFUR-DIOXIDE</t>
  </si>
  <si>
    <t>O2S</t>
  </si>
  <si>
    <t>AMMONIA</t>
  </si>
  <si>
    <t>H3N</t>
  </si>
  <si>
    <t>Component List of EEDIDA cases</t>
  </si>
  <si>
    <t>EEDIDA/TSF</t>
  </si>
  <si>
    <t>Retrofit</t>
  </si>
  <si>
    <t>HHV Gross Plant Heat Rate (Btu/kWh)</t>
  </si>
  <si>
    <t>This is the supplementary spreadsheet from https://doi.org/10.1016/j.jclepro.2022.135696 with the "Retrofit" column added to model an existing 650 MWe plant converted to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</si>
</sst>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&quot;$&quot;#,##0.0"/>
    <numFmt numFmtId="166" formatCode="&quot;$&quot;#,##0.00"/>
    <numFmt numFmtId="167" formatCode="&quot;$&quot;#,##0"/>
    <numFmt numFmtId="168" formatCode="#,##0.000"/>
    <numFmt numFmtId="169" formatCode="0.000"/>
    <numFmt numFmtId="170" formatCode="0.0E+00"/>
    <numFmt numFmtId="171" formatCode="0.0000"/>
    <numFmt numFmtId="172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4" xfId="0" applyFont="1" applyBorder="1"/>
    <xf numFmtId="166" fontId="1" fillId="0" borderId="4" xfId="0" applyNumberFormat="1" applyFont="1" applyBorder="1"/>
    <xf numFmtId="167" fontId="0" fillId="0" borderId="0" xfId="0" applyNumberFormat="1"/>
    <xf numFmtId="0" fontId="0" fillId="0" borderId="0" xfId="0" applyAlignment="1">
      <alignment horizontal="right"/>
    </xf>
    <xf numFmtId="168" fontId="0" fillId="0" borderId="0" xfId="0" applyNumberFormat="1"/>
    <xf numFmtId="4" fontId="1" fillId="0" borderId="4" xfId="0" applyNumberFormat="1" applyFont="1" applyBorder="1"/>
    <xf numFmtId="0" fontId="0" fillId="0" borderId="4" xfId="0" applyBorder="1"/>
    <xf numFmtId="4" fontId="0" fillId="0" borderId="0" xfId="0" applyNumberFormat="1"/>
    <xf numFmtId="169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Continuous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/>
    </xf>
    <xf numFmtId="0" fontId="4" fillId="0" borderId="2" xfId="0" applyFont="1" applyBorder="1"/>
    <xf numFmtId="0" fontId="4" fillId="0" borderId="3" xfId="0" applyFont="1" applyBorder="1" applyAlignment="1">
      <alignment wrapText="1"/>
    </xf>
    <xf numFmtId="166" fontId="1" fillId="0" borderId="0" xfId="0" applyNumberFormat="1" applyFont="1"/>
    <xf numFmtId="166" fontId="1" fillId="0" borderId="3" xfId="0" applyNumberFormat="1" applyFont="1" applyBorder="1"/>
    <xf numFmtId="3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" fontId="0" fillId="0" borderId="1" xfId="0" applyNumberFormat="1" applyBorder="1"/>
    <xf numFmtId="172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2" borderId="8" xfId="0" applyFill="1" applyBorder="1"/>
    <xf numFmtId="0" fontId="0" fillId="2" borderId="4" xfId="0" applyFill="1" applyBorder="1"/>
    <xf numFmtId="0" fontId="0" fillId="2" borderId="11" xfId="0" applyFill="1" applyBorder="1"/>
    <xf numFmtId="167" fontId="0" fillId="0" borderId="6" xfId="0" applyNumberFormat="1" applyBorder="1"/>
    <xf numFmtId="167" fontId="0" fillId="0" borderId="9" xfId="0" applyNumberFormat="1" applyBorder="1"/>
    <xf numFmtId="172" fontId="0" fillId="0" borderId="0" xfId="0" applyNumberFormat="1" applyAlignment="1">
      <alignment horizontal="right"/>
    </xf>
    <xf numFmtId="167" fontId="0" fillId="0" borderId="8" xfId="0" applyNumberFormat="1" applyBorder="1"/>
    <xf numFmtId="167" fontId="0" fillId="0" borderId="7" xfId="0" applyNumberFormat="1" applyBorder="1"/>
    <xf numFmtId="3" fontId="0" fillId="0" borderId="8" xfId="0" applyNumberFormat="1" applyBorder="1"/>
    <xf numFmtId="3" fontId="0" fillId="0" borderId="3" xfId="0" applyNumberFormat="1" applyBorder="1"/>
    <xf numFmtId="0" fontId="1" fillId="0" borderId="8" xfId="0" applyFont="1" applyBorder="1"/>
    <xf numFmtId="172" fontId="0" fillId="0" borderId="3" xfId="0" applyNumberFormat="1" applyBorder="1"/>
    <xf numFmtId="0" fontId="5" fillId="2" borderId="1" xfId="0" applyFont="1" applyFill="1" applyBorder="1"/>
    <xf numFmtId="1" fontId="0" fillId="0" borderId="0" xfId="0" applyNumberFormat="1" applyAlignment="1">
      <alignment horizontal="right"/>
    </xf>
    <xf numFmtId="0" fontId="5" fillId="0" borderId="1" xfId="0" applyFont="1" applyBorder="1"/>
    <xf numFmtId="171" fontId="5" fillId="0" borderId="1" xfId="0" applyNumberFormat="1" applyFont="1" applyBorder="1"/>
    <xf numFmtId="3" fontId="5" fillId="0" borderId="1" xfId="0" applyNumberFormat="1" applyFont="1" applyBorder="1"/>
    <xf numFmtId="1" fontId="5" fillId="0" borderId="1" xfId="0" applyNumberFormat="1" applyFont="1" applyBorder="1"/>
    <xf numFmtId="170" fontId="5" fillId="0" borderId="1" xfId="0" applyNumberFormat="1" applyFont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7" fontId="0" fillId="0" borderId="13" xfId="0" applyNumberFormat="1" applyBorder="1"/>
    <xf numFmtId="167" fontId="0" fillId="0" borderId="1" xfId="0" applyNumberFormat="1" applyBorder="1"/>
    <xf numFmtId="0" fontId="0" fillId="2" borderId="10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9" xfId="0" applyFill="1" applyBorder="1"/>
    <xf numFmtId="167" fontId="0" fillId="0" borderId="14" xfId="0" applyNumberFormat="1" applyBorder="1"/>
    <xf numFmtId="1" fontId="5" fillId="0" borderId="0" xfId="0" applyNumberFormat="1" applyFont="1"/>
    <xf numFmtId="3" fontId="0" fillId="0" borderId="0" xfId="0" applyNumberFormat="1" applyAlignment="1">
      <alignment horizontal="right"/>
    </xf>
    <xf numFmtId="1" fontId="0" fillId="0" borderId="8" xfId="0" applyNumberFormat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wrapText="1"/>
    </xf>
    <xf numFmtId="3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5" fontId="0" fillId="3" borderId="0" xfId="0" applyNumberFormat="1" applyFill="1"/>
    <xf numFmtId="166" fontId="1" fillId="3" borderId="4" xfId="0" applyNumberFormat="1" applyFont="1" applyFill="1" applyBorder="1"/>
    <xf numFmtId="167" fontId="0" fillId="3" borderId="0" xfId="0" applyNumberFormat="1" applyFill="1"/>
    <xf numFmtId="168" fontId="0" fillId="3" borderId="0" xfId="0" applyNumberFormat="1" applyFill="1"/>
    <xf numFmtId="4" fontId="1" fillId="3" borderId="4" xfId="0" applyNumberFormat="1" applyFont="1" applyFill="1" applyBorder="1"/>
    <xf numFmtId="0" fontId="0" fillId="3" borderId="4" xfId="0" applyFill="1" applyBorder="1"/>
    <xf numFmtId="4" fontId="0" fillId="3" borderId="0" xfId="0" applyNumberFormat="1" applyFill="1"/>
    <xf numFmtId="169" fontId="0" fillId="3" borderId="0" xfId="0" applyNumberFormat="1" applyFill="1"/>
    <xf numFmtId="166" fontId="1" fillId="3" borderId="0" xfId="0" applyNumberFormat="1" applyFont="1" applyFill="1"/>
    <xf numFmtId="166" fontId="1" fillId="3" borderId="3" xfId="0" applyNumberFormat="1" applyFont="1" applyFill="1" applyBorder="1"/>
    <xf numFmtId="172" fontId="0" fillId="0" borderId="4" xfId="0" applyNumberFormat="1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9525</xdr:rowOff>
    </xdr:from>
    <xdr:to>
      <xdr:col>12</xdr:col>
      <xdr:colOff>447675</xdr:colOff>
      <xdr:row>30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11720-7197-41F5-A2D9-EEB8415F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581025"/>
          <a:ext cx="714375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</xdr:row>
      <xdr:rowOff>142875</xdr:rowOff>
    </xdr:from>
    <xdr:to>
      <xdr:col>30</xdr:col>
      <xdr:colOff>38100</xdr:colOff>
      <xdr:row>18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13BE01-740D-44FD-96E7-1B221B37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523875"/>
          <a:ext cx="977265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21</xdr:row>
      <xdr:rowOff>123825</xdr:rowOff>
    </xdr:from>
    <xdr:to>
      <xdr:col>19</xdr:col>
      <xdr:colOff>9525</xdr:colOff>
      <xdr:row>30</xdr:row>
      <xdr:rowOff>173259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D3A978-9B31-4EF0-968C-E3A50077C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124325"/>
          <a:ext cx="2933700" cy="1763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21</xdr:row>
      <xdr:rowOff>161925</xdr:rowOff>
    </xdr:from>
    <xdr:to>
      <xdr:col>29</xdr:col>
      <xdr:colOff>366881</xdr:colOff>
      <xdr:row>30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384D0-F3CB-481B-8BCF-5F7E52B9F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4162425"/>
          <a:ext cx="4634081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600075</xdr:colOff>
      <xdr:row>19</xdr:row>
      <xdr:rowOff>142129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594E7-4506-45FE-AE3F-31F85D159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81000"/>
          <a:ext cx="9124950" cy="33806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361950</xdr:colOff>
      <xdr:row>20</xdr:row>
      <xdr:rowOff>3455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5DA0E6-5E39-42B0-B829-95AB63E86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381000"/>
          <a:ext cx="10325100" cy="3432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600075</xdr:colOff>
      <xdr:row>19</xdr:row>
      <xdr:rowOff>142129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4D8B8-875F-4A6E-BEBE-6DD3CEFBA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9124950" cy="33806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400050</xdr:colOff>
      <xdr:row>20</xdr:row>
      <xdr:rowOff>3455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1939E-992F-4907-A56A-5B0890B81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381000"/>
          <a:ext cx="10325100" cy="3432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581025</xdr:colOff>
      <xdr:row>19</xdr:row>
      <xdr:rowOff>142129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C47484-8B5E-4C14-83E7-A34412C12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81000"/>
          <a:ext cx="9124950" cy="33806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381000</xdr:colOff>
      <xdr:row>20</xdr:row>
      <xdr:rowOff>3455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36854-974B-4B54-804C-3307B4624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381000"/>
          <a:ext cx="10325100" cy="34324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590550</xdr:colOff>
      <xdr:row>19</xdr:row>
      <xdr:rowOff>142129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BF562-3FDD-42D4-9D4B-B2B9E06EA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381000"/>
          <a:ext cx="9124950" cy="33806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361950</xdr:colOff>
      <xdr:row>20</xdr:row>
      <xdr:rowOff>3455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EDD8A8-5F3A-4C81-BB07-B60809112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381000"/>
          <a:ext cx="10325100" cy="343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67B4-A9B4-4A79-AEDA-EA95D4F9DAC0}">
  <dimension ref="A1:P108"/>
  <sheetViews>
    <sheetView tabSelected="1" topLeftCell="A12" zoomScale="120" zoomScaleNormal="120" workbookViewId="0">
      <selection activeCell="K33" sqref="K33"/>
    </sheetView>
  </sheetViews>
  <sheetFormatPr baseColWidth="10" defaultColWidth="8.83203125" defaultRowHeight="15" x14ac:dyDescent="0.2"/>
  <cols>
    <col min="1" max="1" width="3.5" customWidth="1"/>
    <col min="2" max="2" width="4.5" customWidth="1"/>
    <col min="3" max="3" width="36.5" customWidth="1"/>
    <col min="4" max="15" width="11.33203125" customWidth="1"/>
    <col min="16" max="16" width="16.1640625" customWidth="1"/>
  </cols>
  <sheetData>
    <row r="1" spans="1:16" x14ac:dyDescent="0.2">
      <c r="A1" s="1" t="s">
        <v>279</v>
      </c>
    </row>
    <row r="2" spans="1:16" x14ac:dyDescent="0.2">
      <c r="A2" t="s">
        <v>331</v>
      </c>
      <c r="K2">
        <f>D5/J5</f>
        <v>0.91598570510325439</v>
      </c>
    </row>
    <row r="3" spans="1:16" x14ac:dyDescent="0.2">
      <c r="A3" s="4"/>
      <c r="B3" s="4"/>
      <c r="C3" s="4"/>
      <c r="D3" s="4" t="s">
        <v>18</v>
      </c>
      <c r="E3" s="4" t="s">
        <v>19</v>
      </c>
      <c r="F3" s="4" t="s">
        <v>205</v>
      </c>
      <c r="G3" s="4" t="s">
        <v>278</v>
      </c>
      <c r="H3" s="4" t="s">
        <v>278</v>
      </c>
      <c r="I3" s="4" t="s">
        <v>15</v>
      </c>
      <c r="J3" s="79" t="s">
        <v>15</v>
      </c>
      <c r="K3" s="79" t="s">
        <v>328</v>
      </c>
      <c r="L3" s="4" t="s">
        <v>128</v>
      </c>
      <c r="M3" s="4" t="s">
        <v>128</v>
      </c>
      <c r="N3" s="4" t="s">
        <v>129</v>
      </c>
      <c r="O3" s="4" t="s">
        <v>129</v>
      </c>
      <c r="P3" s="27" t="s">
        <v>130</v>
      </c>
    </row>
    <row r="4" spans="1:16" ht="15.75" customHeight="1" x14ac:dyDescent="0.2">
      <c r="A4" s="5" t="s">
        <v>20</v>
      </c>
      <c r="B4" s="6"/>
      <c r="C4" s="6"/>
      <c r="D4" s="6" t="s">
        <v>21</v>
      </c>
      <c r="E4" s="6" t="s">
        <v>22</v>
      </c>
      <c r="F4" s="6"/>
      <c r="G4" s="6" t="s">
        <v>126</v>
      </c>
      <c r="H4" s="6" t="s">
        <v>127</v>
      </c>
      <c r="I4" s="6" t="s">
        <v>126</v>
      </c>
      <c r="J4" s="80" t="s">
        <v>127</v>
      </c>
      <c r="K4" s="80" t="s">
        <v>329</v>
      </c>
      <c r="L4" s="6" t="s">
        <v>126</v>
      </c>
      <c r="M4" s="6" t="s">
        <v>127</v>
      </c>
      <c r="N4" s="6" t="s">
        <v>126</v>
      </c>
      <c r="O4" s="6" t="s">
        <v>127</v>
      </c>
      <c r="P4" s="28" t="s">
        <v>206</v>
      </c>
    </row>
    <row r="5" spans="1:16" x14ac:dyDescent="0.2">
      <c r="B5" t="s">
        <v>23</v>
      </c>
      <c r="D5" s="7">
        <v>685000</v>
      </c>
      <c r="E5" s="7">
        <v>770000</v>
      </c>
      <c r="F5" s="7">
        <v>780920.31944798143</v>
      </c>
      <c r="G5" s="7">
        <v>749512.98602120869</v>
      </c>
      <c r="H5" s="7">
        <v>742568.06215750519</v>
      </c>
      <c r="I5" s="7">
        <v>751828.45072240767</v>
      </c>
      <c r="J5" s="81">
        <v>747828.26433168352</v>
      </c>
      <c r="K5" s="81">
        <f>K$2*J5</f>
        <v>685000</v>
      </c>
      <c r="L5" s="7">
        <v>751690.04262812342</v>
      </c>
      <c r="M5" s="7">
        <v>743907.333434331</v>
      </c>
      <c r="N5" s="7">
        <v>752313.48465072038</v>
      </c>
      <c r="O5" s="7">
        <v>749759.76400371327</v>
      </c>
      <c r="P5" s="23">
        <v>1</v>
      </c>
    </row>
    <row r="6" spans="1:16" x14ac:dyDescent="0.2">
      <c r="B6" t="s">
        <v>24</v>
      </c>
      <c r="J6" s="82"/>
      <c r="K6" s="82"/>
      <c r="P6" s="23"/>
    </row>
    <row r="7" spans="1:16" x14ac:dyDescent="0.2">
      <c r="C7" t="s">
        <v>25</v>
      </c>
      <c r="D7">
        <v>30</v>
      </c>
      <c r="E7">
        <v>40</v>
      </c>
      <c r="F7" s="7">
        <v>42.752368424399776</v>
      </c>
      <c r="G7" s="7">
        <v>37.361942898092948</v>
      </c>
      <c r="H7" s="7">
        <v>37.222025808289558</v>
      </c>
      <c r="I7" s="7">
        <v>37.18469632768813</v>
      </c>
      <c r="J7" s="81">
        <v>37.014989283069994</v>
      </c>
      <c r="K7" s="81">
        <f t="shared" ref="K7:K28" si="0">K$2*J7</f>
        <v>33.905201057842277</v>
      </c>
      <c r="L7" s="7">
        <v>37.458808715569084</v>
      </c>
      <c r="M7" s="7">
        <v>37.2226362799464</v>
      </c>
      <c r="N7" s="7">
        <v>37.446490674660176</v>
      </c>
      <c r="O7" s="7">
        <v>37.502111824165262</v>
      </c>
      <c r="P7" s="23">
        <v>4</v>
      </c>
    </row>
    <row r="8" spans="1:16" x14ac:dyDescent="0.2">
      <c r="C8" t="s">
        <v>26</v>
      </c>
      <c r="D8">
        <v>690</v>
      </c>
      <c r="E8">
        <v>880</v>
      </c>
      <c r="F8" s="7">
        <v>940.55210533679508</v>
      </c>
      <c r="G8" s="7">
        <v>821.96274375804478</v>
      </c>
      <c r="H8" s="7">
        <v>818.88456778237037</v>
      </c>
      <c r="I8" s="7">
        <v>818.06331920913885</v>
      </c>
      <c r="J8" s="81">
        <v>814.32976422753995</v>
      </c>
      <c r="K8" s="81">
        <f t="shared" si="0"/>
        <v>745.91442327253014</v>
      </c>
      <c r="L8" s="7">
        <v>824.0937917425199</v>
      </c>
      <c r="M8" s="7">
        <v>818.89799815882088</v>
      </c>
      <c r="N8" s="7">
        <v>823.82279484252388</v>
      </c>
      <c r="O8" s="7">
        <v>825.04646013163585</v>
      </c>
      <c r="P8" s="23">
        <v>4</v>
      </c>
    </row>
    <row r="9" spans="1:16" x14ac:dyDescent="0.2">
      <c r="C9" t="s">
        <v>27</v>
      </c>
      <c r="D9">
        <v>90</v>
      </c>
      <c r="E9">
        <v>120</v>
      </c>
      <c r="F9" s="7">
        <v>128.25710527319933</v>
      </c>
      <c r="G9" s="7">
        <v>112.08582869427883</v>
      </c>
      <c r="H9" s="7">
        <v>111.66607742486869</v>
      </c>
      <c r="I9" s="7">
        <v>111.55408898306439</v>
      </c>
      <c r="J9" s="81">
        <v>111.04496784920998</v>
      </c>
      <c r="K9" s="81">
        <f t="shared" si="0"/>
        <v>101.71560317352682</v>
      </c>
      <c r="L9" s="7">
        <v>112.37642614670725</v>
      </c>
      <c r="M9" s="7">
        <v>111.66790883983919</v>
      </c>
      <c r="N9" s="7">
        <v>112.33947202398051</v>
      </c>
      <c r="O9" s="7">
        <v>112.50633547249578</v>
      </c>
      <c r="P9" s="23">
        <v>4</v>
      </c>
    </row>
    <row r="10" spans="1:16" x14ac:dyDescent="0.2">
      <c r="C10" t="s">
        <v>28</v>
      </c>
      <c r="D10">
        <v>5300</v>
      </c>
      <c r="E10">
        <v>9610</v>
      </c>
      <c r="F10" s="7">
        <v>14544.997023507169</v>
      </c>
      <c r="G10" s="7">
        <v>10113.037298798554</v>
      </c>
      <c r="H10" s="7">
        <v>9972.3390444278975</v>
      </c>
      <c r="I10" s="7">
        <v>6440.0826302108808</v>
      </c>
      <c r="J10" s="81">
        <v>6395.958804431476</v>
      </c>
      <c r="K10" s="81">
        <f t="shared" si="0"/>
        <v>5858.6068352885331</v>
      </c>
      <c r="L10" s="7">
        <v>6404.9964766482108</v>
      </c>
      <c r="M10" s="7">
        <v>6343.3877150386152</v>
      </c>
      <c r="N10" s="7">
        <v>6470.5840274317543</v>
      </c>
      <c r="O10" s="7">
        <v>6483.2890294547924</v>
      </c>
      <c r="P10" s="23">
        <v>1</v>
      </c>
    </row>
    <row r="11" spans="1:16" x14ac:dyDescent="0.2">
      <c r="C11" t="s">
        <v>29</v>
      </c>
      <c r="D11">
        <v>0</v>
      </c>
      <c r="E11">
        <v>27300</v>
      </c>
      <c r="F11" s="7">
        <v>23328.81079864435</v>
      </c>
      <c r="G11" s="7">
        <v>12997.024353007844</v>
      </c>
      <c r="H11" s="7">
        <v>12972.676267743791</v>
      </c>
      <c r="I11" s="7">
        <v>20368.424141494299</v>
      </c>
      <c r="J11" s="81">
        <v>20342.711964214999</v>
      </c>
      <c r="K11" s="81">
        <f t="shared" si="0"/>
        <v>18633.633362253884</v>
      </c>
      <c r="L11" s="7">
        <v>16646.3041594143</v>
      </c>
      <c r="M11" s="7">
        <v>16756.231432913799</v>
      </c>
      <c r="N11" s="7">
        <v>17214.8997561939</v>
      </c>
      <c r="O11" s="7">
        <v>17253.518488953101</v>
      </c>
      <c r="P11" s="23">
        <v>1</v>
      </c>
    </row>
    <row r="12" spans="1:16" x14ac:dyDescent="0.2">
      <c r="C12" t="s">
        <v>30</v>
      </c>
      <c r="D12">
        <v>0</v>
      </c>
      <c r="E12">
        <v>44380</v>
      </c>
      <c r="F12" s="7">
        <v>49195.43892444369</v>
      </c>
      <c r="G12" s="7">
        <v>39017.908271707944</v>
      </c>
      <c r="H12" s="7">
        <v>32400.396251161161</v>
      </c>
      <c r="I12" s="7">
        <v>37935.604085329469</v>
      </c>
      <c r="J12" s="81">
        <v>34195.807400556216</v>
      </c>
      <c r="K12" s="81">
        <f t="shared" si="0"/>
        <v>31322.870753373569</v>
      </c>
      <c r="L12" s="7">
        <v>41379.799110674881</v>
      </c>
      <c r="M12" s="7">
        <v>33823.615424647505</v>
      </c>
      <c r="N12" s="7">
        <v>41309.441616970558</v>
      </c>
      <c r="O12" s="7">
        <v>38661.099247715545</v>
      </c>
      <c r="P12" s="23">
        <v>1</v>
      </c>
    </row>
    <row r="13" spans="1:16" x14ac:dyDescent="0.2">
      <c r="C13" t="s">
        <v>31</v>
      </c>
      <c r="D13">
        <v>470</v>
      </c>
      <c r="E13">
        <v>530</v>
      </c>
      <c r="F13" s="7">
        <v>566.46888162329697</v>
      </c>
      <c r="G13" s="7">
        <v>495.04574339973152</v>
      </c>
      <c r="H13" s="7">
        <v>493.19184195983667</v>
      </c>
      <c r="I13" s="7">
        <v>492.69722634186775</v>
      </c>
      <c r="J13" s="81">
        <v>490.44860800067744</v>
      </c>
      <c r="K13" s="81">
        <f t="shared" si="0"/>
        <v>449.24391401641014</v>
      </c>
      <c r="L13" s="7">
        <v>496.32921548129036</v>
      </c>
      <c r="M13" s="7">
        <v>493.19993070928984</v>
      </c>
      <c r="N13" s="7">
        <v>496.16600143924734</v>
      </c>
      <c r="O13" s="7">
        <v>496.90298167018972</v>
      </c>
      <c r="P13" s="23">
        <v>4</v>
      </c>
    </row>
    <row r="14" spans="1:16" x14ac:dyDescent="0.2">
      <c r="C14" t="s">
        <v>32</v>
      </c>
      <c r="D14">
        <v>660</v>
      </c>
      <c r="E14">
        <v>790</v>
      </c>
      <c r="F14" s="7">
        <v>448.15151359908299</v>
      </c>
      <c r="G14" s="7">
        <v>664.42144128537359</v>
      </c>
      <c r="H14" s="7">
        <v>711.23474694221613</v>
      </c>
      <c r="I14" s="7">
        <v>715.69477983642162</v>
      </c>
      <c r="J14" s="81">
        <v>712.390483741965</v>
      </c>
      <c r="K14" s="81">
        <f t="shared" si="0"/>
        <v>652.53949955923224</v>
      </c>
      <c r="L14" s="7">
        <v>716.57930219604214</v>
      </c>
      <c r="M14" s="7">
        <v>710.1974515917974</v>
      </c>
      <c r="N14" s="7">
        <v>716.27251239056829</v>
      </c>
      <c r="O14" s="7">
        <v>713.4109006169133</v>
      </c>
      <c r="P14" s="23">
        <v>1</v>
      </c>
    </row>
    <row r="15" spans="1:16" x14ac:dyDescent="0.2">
      <c r="C15" t="s">
        <v>33</v>
      </c>
      <c r="D15">
        <v>2740</v>
      </c>
      <c r="E15">
        <v>4970</v>
      </c>
      <c r="F15" s="7">
        <v>8098.7414720156412</v>
      </c>
      <c r="G15" s="7">
        <v>5631.6808976610237</v>
      </c>
      <c r="H15" s="7">
        <v>5553.3297902674412</v>
      </c>
      <c r="I15" s="7">
        <v>6406.7837346494362</v>
      </c>
      <c r="J15" s="81">
        <v>6362.821135275808</v>
      </c>
      <c r="K15" s="81">
        <f t="shared" si="0"/>
        <v>5828.2532040415008</v>
      </c>
      <c r="L15" s="7">
        <v>6372.0608720906221</v>
      </c>
      <c r="M15" s="7">
        <v>6310.7155986254184</v>
      </c>
      <c r="N15" s="7">
        <v>6437.2379811520977</v>
      </c>
      <c r="O15" s="7">
        <v>6449.8840771083469</v>
      </c>
      <c r="P15" s="23">
        <v>1</v>
      </c>
    </row>
    <row r="16" spans="1:16" x14ac:dyDescent="0.2">
      <c r="C16" t="s">
        <v>34</v>
      </c>
      <c r="D16">
        <v>60</v>
      </c>
      <c r="E16">
        <v>80</v>
      </c>
      <c r="F16" s="7">
        <v>85.504736848799553</v>
      </c>
      <c r="G16" s="7">
        <v>74.723885796185897</v>
      </c>
      <c r="H16" s="7">
        <v>74.444051616579117</v>
      </c>
      <c r="I16" s="7">
        <v>74.369392655376259</v>
      </c>
      <c r="J16" s="81">
        <v>74.029978566139988</v>
      </c>
      <c r="K16" s="81">
        <f t="shared" si="0"/>
        <v>67.810402115684553</v>
      </c>
      <c r="L16" s="7">
        <v>74.917617431138169</v>
      </c>
      <c r="M16" s="7">
        <v>74.4452725598928</v>
      </c>
      <c r="N16" s="7">
        <v>74.892981349320351</v>
      </c>
      <c r="O16" s="7">
        <v>75.004223648330523</v>
      </c>
      <c r="P16" s="23">
        <v>4</v>
      </c>
    </row>
    <row r="17" spans="2:16" x14ac:dyDescent="0.2">
      <c r="C17" t="s">
        <v>35</v>
      </c>
      <c r="D17">
        <v>3310</v>
      </c>
      <c r="E17">
        <v>4230</v>
      </c>
      <c r="F17" s="7">
        <v>4521.0629608802765</v>
      </c>
      <c r="G17" s="7">
        <v>3951.025461473329</v>
      </c>
      <c r="H17" s="7">
        <v>3936.2292292266211</v>
      </c>
      <c r="I17" s="7">
        <v>3932.2816366530201</v>
      </c>
      <c r="J17" s="81">
        <v>3914.3351166846519</v>
      </c>
      <c r="K17" s="81">
        <f t="shared" si="0"/>
        <v>3585.4750118668203</v>
      </c>
      <c r="L17" s="7">
        <v>3961.2690216714304</v>
      </c>
      <c r="M17" s="7">
        <v>3936.2937866043317</v>
      </c>
      <c r="N17" s="7">
        <v>3959.9663888453133</v>
      </c>
      <c r="O17" s="7">
        <v>3965.8483254054763</v>
      </c>
      <c r="P17" s="23">
        <v>4</v>
      </c>
    </row>
    <row r="18" spans="2:16" x14ac:dyDescent="0.2">
      <c r="C18" t="s">
        <v>36</v>
      </c>
      <c r="D18">
        <v>2010</v>
      </c>
      <c r="E18">
        <v>2560</v>
      </c>
      <c r="F18" s="7">
        <v>2808.3175770619723</v>
      </c>
      <c r="G18" s="7">
        <v>2454.2219646042054</v>
      </c>
      <c r="H18" s="7">
        <v>2445.0311257884728</v>
      </c>
      <c r="I18" s="7">
        <v>2442.5790361990962</v>
      </c>
      <c r="J18" s="81">
        <v>2431.4313622789814</v>
      </c>
      <c r="K18" s="81">
        <f t="shared" si="0"/>
        <v>2227.1563707872792</v>
      </c>
      <c r="L18" s="7">
        <v>2460.5809022209078</v>
      </c>
      <c r="M18" s="7">
        <v>2445.0672912799746</v>
      </c>
      <c r="N18" s="7">
        <v>2459.771759131404</v>
      </c>
      <c r="O18" s="7">
        <v>2463.4253814147764</v>
      </c>
      <c r="P18" s="23">
        <v>1</v>
      </c>
    </row>
    <row r="19" spans="2:16" x14ac:dyDescent="0.2">
      <c r="C19" t="s">
        <v>37</v>
      </c>
      <c r="D19">
        <v>550</v>
      </c>
      <c r="E19">
        <v>900</v>
      </c>
      <c r="F19" s="7">
        <v>961.92828954899494</v>
      </c>
      <c r="G19" s="7">
        <v>840.6437152070913</v>
      </c>
      <c r="H19" s="7">
        <v>837.49558068651515</v>
      </c>
      <c r="I19" s="7">
        <v>836.65566737298298</v>
      </c>
      <c r="J19" s="81">
        <v>832.83725886907484</v>
      </c>
      <c r="K19" s="81">
        <f t="shared" si="0"/>
        <v>762.86702380145118</v>
      </c>
      <c r="L19" s="7">
        <v>842.82319610030459</v>
      </c>
      <c r="M19" s="7">
        <v>837.50931629879415</v>
      </c>
      <c r="N19" s="7">
        <v>842.54604017985412</v>
      </c>
      <c r="O19" s="7">
        <v>843.79751604371859</v>
      </c>
      <c r="P19" s="23">
        <v>4</v>
      </c>
    </row>
    <row r="20" spans="2:16" x14ac:dyDescent="0.2">
      <c r="C20" t="s">
        <v>38</v>
      </c>
      <c r="D20">
        <v>8210</v>
      </c>
      <c r="E20">
        <v>10440</v>
      </c>
      <c r="F20" s="7">
        <v>11359.945575889386</v>
      </c>
      <c r="G20" s="7">
        <v>9930.3373980268789</v>
      </c>
      <c r="H20" s="7">
        <v>9893.149184520762</v>
      </c>
      <c r="I20" s="7">
        <v>9883.2274751954101</v>
      </c>
      <c r="J20" s="81">
        <v>9838.1214640739672</v>
      </c>
      <c r="K20" s="81">
        <f t="shared" si="0"/>
        <v>9011.5786261612539</v>
      </c>
      <c r="L20" s="7">
        <v>9956.0670984930894</v>
      </c>
      <c r="M20" s="7">
        <v>9893.2955182827263</v>
      </c>
      <c r="N20" s="7">
        <v>9954.759060060549</v>
      </c>
      <c r="O20" s="7">
        <v>9969.5453626483486</v>
      </c>
      <c r="P20" s="23">
        <v>1</v>
      </c>
    </row>
    <row r="21" spans="2:16" x14ac:dyDescent="0.2">
      <c r="C21" t="s">
        <v>39</v>
      </c>
      <c r="D21">
        <v>2250</v>
      </c>
      <c r="E21">
        <v>2250</v>
      </c>
      <c r="F21" s="7">
        <v>2250</v>
      </c>
      <c r="G21" s="7">
        <v>2250</v>
      </c>
      <c r="H21" s="7">
        <v>2250</v>
      </c>
      <c r="I21" s="7">
        <v>2250</v>
      </c>
      <c r="J21" s="81">
        <v>2250</v>
      </c>
      <c r="K21" s="81">
        <f t="shared" si="0"/>
        <v>2060.9678364823226</v>
      </c>
      <c r="L21" s="7">
        <v>2250</v>
      </c>
      <c r="M21" s="7">
        <v>2250</v>
      </c>
      <c r="N21" s="7">
        <v>2250</v>
      </c>
      <c r="O21" s="7">
        <v>2250</v>
      </c>
      <c r="P21" s="23">
        <v>5</v>
      </c>
    </row>
    <row r="22" spans="2:16" x14ac:dyDescent="0.2">
      <c r="C22" t="s">
        <v>40</v>
      </c>
      <c r="D22">
        <v>1570</v>
      </c>
      <c r="E22">
        <v>2010</v>
      </c>
      <c r="F22" s="7">
        <v>2107.8948370729249</v>
      </c>
      <c r="G22" s="7">
        <v>1842.0932326475745</v>
      </c>
      <c r="H22" s="7">
        <v>1835.1947604519085</v>
      </c>
      <c r="I22" s="7">
        <v>1833.3542677403357</v>
      </c>
      <c r="J22" s="81">
        <v>1824.987031612483</v>
      </c>
      <c r="K22" s="81">
        <f t="shared" si="0"/>
        <v>1671.6620329558555</v>
      </c>
      <c r="L22" s="7">
        <v>1846.8661326213733</v>
      </c>
      <c r="M22" s="7">
        <v>1835.2219055953028</v>
      </c>
      <c r="N22" s="7">
        <v>1846.2588049098154</v>
      </c>
      <c r="O22" s="7">
        <v>1849.0011456515731</v>
      </c>
      <c r="P22" s="23">
        <v>1</v>
      </c>
    </row>
    <row r="23" spans="2:16" x14ac:dyDescent="0.2">
      <c r="C23" t="s">
        <v>41</v>
      </c>
      <c r="D23">
        <v>3210</v>
      </c>
      <c r="E23">
        <v>4100</v>
      </c>
      <c r="F23" s="7">
        <v>4382.1177635009772</v>
      </c>
      <c r="G23" s="7">
        <v>3829.5991470545268</v>
      </c>
      <c r="H23" s="7">
        <v>3815.2576453496799</v>
      </c>
      <c r="I23" s="7">
        <v>3811.4313735880337</v>
      </c>
      <c r="J23" s="81">
        <v>3794.0364015146747</v>
      </c>
      <c r="K23" s="81">
        <f t="shared" si="0"/>
        <v>3475.2831084288332</v>
      </c>
      <c r="L23" s="7">
        <v>3839.5278933458312</v>
      </c>
      <c r="M23" s="7">
        <v>3815.3202186945059</v>
      </c>
      <c r="N23" s="7">
        <v>3838.265294152668</v>
      </c>
      <c r="O23" s="7">
        <v>3843.9664619769392</v>
      </c>
      <c r="P23" s="23">
        <v>4</v>
      </c>
    </row>
    <row r="24" spans="2:16" x14ac:dyDescent="0.2">
      <c r="C24" t="s">
        <v>42</v>
      </c>
      <c r="D24">
        <v>30</v>
      </c>
      <c r="E24">
        <v>50</v>
      </c>
      <c r="F24" s="7">
        <v>53.44046053049972</v>
      </c>
      <c r="G24" s="7">
        <v>46.702428622616182</v>
      </c>
      <c r="H24" s="7">
        <v>46.527532260361951</v>
      </c>
      <c r="I24" s="7">
        <v>46.480870409610162</v>
      </c>
      <c r="J24" s="81">
        <v>46.268736603837496</v>
      </c>
      <c r="K24" s="81">
        <f t="shared" si="0"/>
        <v>42.381501322302846</v>
      </c>
      <c r="L24" s="7">
        <v>46.82351089446135</v>
      </c>
      <c r="M24" s="7">
        <v>46.528295349932996</v>
      </c>
      <c r="N24" s="7">
        <v>46.808113343325218</v>
      </c>
      <c r="O24" s="7">
        <v>46.877639780206572</v>
      </c>
      <c r="P24" s="23">
        <v>4</v>
      </c>
    </row>
    <row r="25" spans="2:16" x14ac:dyDescent="0.2">
      <c r="C25" t="s">
        <v>43</v>
      </c>
      <c r="D25">
        <v>1000</v>
      </c>
      <c r="E25">
        <v>1280</v>
      </c>
      <c r="F25" s="7">
        <v>1368.0757895807928</v>
      </c>
      <c r="G25" s="7">
        <v>1195.5821727389744</v>
      </c>
      <c r="H25" s="7">
        <v>1191.1048258652659</v>
      </c>
      <c r="I25" s="7">
        <v>1189.9102824860202</v>
      </c>
      <c r="J25" s="81">
        <v>1184.4796570582398</v>
      </c>
      <c r="K25" s="81">
        <f t="shared" si="0"/>
        <v>1084.9664338509529</v>
      </c>
      <c r="L25" s="7">
        <v>1198.6818788982107</v>
      </c>
      <c r="M25" s="7">
        <v>1191.1243609582848</v>
      </c>
      <c r="N25" s="7">
        <v>1198.2877015891256</v>
      </c>
      <c r="O25" s="7">
        <v>1200.0675783732884</v>
      </c>
      <c r="P25" s="23">
        <v>4</v>
      </c>
    </row>
    <row r="26" spans="2:16" x14ac:dyDescent="0.2">
      <c r="C26" t="s">
        <v>44</v>
      </c>
      <c r="D26">
        <v>240</v>
      </c>
      <c r="E26">
        <v>300</v>
      </c>
      <c r="F26" s="7">
        <v>320.64276318299829</v>
      </c>
      <c r="G26" s="7">
        <v>280.21457173569706</v>
      </c>
      <c r="H26" s="7">
        <v>279.16519356217168</v>
      </c>
      <c r="I26" s="7">
        <v>278.88522245766097</v>
      </c>
      <c r="J26" s="81">
        <v>277.61241962302495</v>
      </c>
      <c r="K26" s="81">
        <f t="shared" si="0"/>
        <v>254.28900793381703</v>
      </c>
      <c r="L26" s="7">
        <v>280.9410653667681</v>
      </c>
      <c r="M26" s="7">
        <v>279.16977209959794</v>
      </c>
      <c r="N26" s="7">
        <v>280.84868005995128</v>
      </c>
      <c r="O26" s="7">
        <v>281.26583868123942</v>
      </c>
      <c r="P26" s="23">
        <v>4</v>
      </c>
    </row>
    <row r="27" spans="2:16" x14ac:dyDescent="0.2">
      <c r="C27" t="s">
        <v>45</v>
      </c>
      <c r="D27">
        <v>500</v>
      </c>
      <c r="E27">
        <v>500</v>
      </c>
      <c r="F27" s="7">
        <v>500</v>
      </c>
      <c r="G27" s="7">
        <v>500</v>
      </c>
      <c r="H27" s="7">
        <v>500</v>
      </c>
      <c r="I27" s="7">
        <v>500</v>
      </c>
      <c r="J27" s="82">
        <v>500</v>
      </c>
      <c r="K27" s="81">
        <f t="shared" si="0"/>
        <v>457.99285255162721</v>
      </c>
      <c r="L27">
        <v>500</v>
      </c>
      <c r="M27">
        <v>500</v>
      </c>
      <c r="N27">
        <v>500</v>
      </c>
      <c r="O27">
        <v>500</v>
      </c>
      <c r="P27" s="23">
        <v>5</v>
      </c>
    </row>
    <row r="28" spans="2:16" x14ac:dyDescent="0.2">
      <c r="C28" t="s">
        <v>46</v>
      </c>
      <c r="D28" s="8">
        <f>0.003139*D5</f>
        <v>2150.2149999999997</v>
      </c>
      <c r="E28" s="8">
        <f t="shared" ref="E28" si="1">0.0034805*E5</f>
        <v>2679.9850000000001</v>
      </c>
      <c r="F28" s="7">
        <v>2717.9931718386993</v>
      </c>
      <c r="G28" s="7">
        <v>2608.679947846817</v>
      </c>
      <c r="H28" s="7">
        <v>2584.5081403391969</v>
      </c>
      <c r="I28" s="7">
        <v>2616.7389227393401</v>
      </c>
      <c r="J28" s="83">
        <v>2602.8162740064245</v>
      </c>
      <c r="K28" s="83">
        <f t="shared" si="0"/>
        <v>2384.1424999999999</v>
      </c>
      <c r="L28" s="8">
        <v>2616.2571933671838</v>
      </c>
      <c r="M28" s="8">
        <v>2589.1694740181892</v>
      </c>
      <c r="N28" s="8">
        <v>2618.4270833268324</v>
      </c>
      <c r="O28" s="8">
        <v>2609.5388586149243</v>
      </c>
      <c r="P28" s="23">
        <v>2</v>
      </c>
    </row>
    <row r="29" spans="2:16" x14ac:dyDescent="0.2">
      <c r="C29" t="s">
        <v>47</v>
      </c>
      <c r="D29" s="7">
        <f t="shared" ref="D29:O29" si="2">SUM(D7:D28)</f>
        <v>35070.214999999997</v>
      </c>
      <c r="E29" s="7">
        <f t="shared" si="2"/>
        <v>119999.985</v>
      </c>
      <c r="F29" s="7">
        <v>130731.09411880391</v>
      </c>
      <c r="G29" s="7">
        <f t="shared" si="2"/>
        <v>99694.352446964782</v>
      </c>
      <c r="H29" s="7">
        <f t="shared" si="2"/>
        <v>92759.047883185398</v>
      </c>
      <c r="I29" s="7">
        <f t="shared" si="2"/>
        <v>103022.00284987914</v>
      </c>
      <c r="J29" s="81">
        <f t="shared" si="2"/>
        <v>99033.483818472465</v>
      </c>
      <c r="K29" s="81">
        <f t="shared" ref="K29" si="3">SUM(K7:K28)</f>
        <v>90713.255504295215</v>
      </c>
      <c r="L29" s="7">
        <f t="shared" si="2"/>
        <v>102864.75367352086</v>
      </c>
      <c r="M29" s="7">
        <f t="shared" si="2"/>
        <v>95098.28130854656</v>
      </c>
      <c r="N29" s="7">
        <f t="shared" si="2"/>
        <v>103489.04256006744</v>
      </c>
      <c r="O29" s="7">
        <f t="shared" si="2"/>
        <v>100931.49796518599</v>
      </c>
      <c r="P29" s="23">
        <v>2</v>
      </c>
    </row>
    <row r="30" spans="2:16" x14ac:dyDescent="0.2">
      <c r="B30" t="s">
        <v>48</v>
      </c>
      <c r="D30" s="7">
        <f t="shared" ref="D30:E30" si="4">D5-D29</f>
        <v>649929.78500000003</v>
      </c>
      <c r="E30" s="7">
        <f t="shared" si="4"/>
        <v>650000.01500000001</v>
      </c>
      <c r="F30" s="7">
        <v>650189.22532917745</v>
      </c>
      <c r="G30" s="7">
        <f t="shared" ref="G30:J30" si="5">G5-G29</f>
        <v>649818.63357424387</v>
      </c>
      <c r="H30" s="7">
        <f t="shared" si="5"/>
        <v>649809.01427431975</v>
      </c>
      <c r="I30" s="7">
        <f t="shared" si="5"/>
        <v>648806.44787252857</v>
      </c>
      <c r="J30" s="81">
        <f t="shared" si="5"/>
        <v>648794.78051321104</v>
      </c>
      <c r="K30" s="81">
        <f t="shared" ref="K30" si="6">K5-K29</f>
        <v>594286.74449570477</v>
      </c>
      <c r="L30" s="7">
        <f t="shared" ref="L30:M30" si="7">L5-L29</f>
        <v>648825.28895460255</v>
      </c>
      <c r="M30" s="7">
        <f t="shared" si="7"/>
        <v>648809.05212578445</v>
      </c>
      <c r="N30" s="7">
        <f t="shared" ref="N30:O30" si="8">N5-N29</f>
        <v>648824.44209065288</v>
      </c>
      <c r="O30" s="7">
        <f t="shared" si="8"/>
        <v>648828.26603852725</v>
      </c>
      <c r="P30" s="23">
        <v>2</v>
      </c>
    </row>
    <row r="31" spans="2:16" x14ac:dyDescent="0.2">
      <c r="B31" t="s">
        <v>49</v>
      </c>
      <c r="D31" s="9">
        <f>D30/D35</f>
        <v>0.40271328691200331</v>
      </c>
      <c r="E31" s="9">
        <f t="shared" ref="E31:I31" si="9">E30/E35</f>
        <v>0.31515519892119465</v>
      </c>
      <c r="F31" s="9">
        <v>0.29495155468663775</v>
      </c>
      <c r="G31" s="9">
        <f t="shared" si="9"/>
        <v>0.33731356663670575</v>
      </c>
      <c r="H31" s="9">
        <f t="shared" si="9"/>
        <v>0.33857651171500586</v>
      </c>
      <c r="I31" s="9">
        <f t="shared" si="9"/>
        <v>0.33839350488135572</v>
      </c>
      <c r="J31" s="84">
        <f t="shared" ref="J31:L31" si="10">J30/J35</f>
        <v>0.33993886485687153</v>
      </c>
      <c r="K31" s="84">
        <f t="shared" ref="K31" si="11">K30/K35</f>
        <v>0.33993886485687153</v>
      </c>
      <c r="L31" s="9">
        <f t="shared" si="10"/>
        <v>0.3359270762300075</v>
      </c>
      <c r="M31" s="9">
        <f t="shared" ref="M31:N31" si="12">M30/M35</f>
        <v>0.33805058198723498</v>
      </c>
      <c r="N31" s="9">
        <f t="shared" si="12"/>
        <v>0.33603679484893445</v>
      </c>
      <c r="O31" s="9">
        <f t="shared" ref="O31" si="13">O30/O35</f>
        <v>0.3355410177344077</v>
      </c>
      <c r="P31" s="23">
        <v>2</v>
      </c>
    </row>
    <row r="32" spans="2:16" x14ac:dyDescent="0.2">
      <c r="C32" t="s">
        <v>50</v>
      </c>
      <c r="D32" s="8">
        <f t="shared" ref="D32:E32" si="14">11666*D34*2.20462/D30</f>
        <v>8472.8731136996103</v>
      </c>
      <c r="E32" s="8">
        <f t="shared" si="14"/>
        <v>10826.85163654725</v>
      </c>
      <c r="F32" s="8">
        <v>11568.47125227542</v>
      </c>
      <c r="G32" s="8">
        <f t="shared" ref="G32:J32" si="15">11666*G34*2.20462/G30</f>
        <v>10115.628064498394</v>
      </c>
      <c r="H32" s="8">
        <f t="shared" si="15"/>
        <v>10077.895137860158</v>
      </c>
      <c r="I32" s="8">
        <f t="shared" si="15"/>
        <v>10083.345371545005</v>
      </c>
      <c r="J32" s="83">
        <f t="shared" si="15"/>
        <v>10037.506545898959</v>
      </c>
      <c r="K32" s="83">
        <f t="shared" ref="K32" si="16">11666*K34*2.20462/K30</f>
        <v>10037.506545898961</v>
      </c>
      <c r="L32" s="8">
        <f t="shared" ref="L32:M32" si="17">11666*L34*2.20462/L30</f>
        <v>10157.378855850358</v>
      </c>
      <c r="M32" s="8">
        <f t="shared" si="17"/>
        <v>10093.574047848126</v>
      </c>
      <c r="N32" s="8">
        <f t="shared" ref="N32:O32" si="18">11666*N34*2.20462/N30</f>
        <v>10154.062392900274</v>
      </c>
      <c r="O32" s="8">
        <f t="shared" si="18"/>
        <v>10169.065481905212</v>
      </c>
      <c r="P32" s="23">
        <v>2</v>
      </c>
    </row>
    <row r="33" spans="1:16" x14ac:dyDescent="0.2">
      <c r="C33" t="s">
        <v>330</v>
      </c>
      <c r="D33" s="8"/>
      <c r="E33" s="8"/>
      <c r="F33" s="8"/>
      <c r="G33" s="8"/>
      <c r="H33" s="8"/>
      <c r="I33" s="8"/>
      <c r="J33" s="83"/>
      <c r="K33" s="83">
        <f>11666*K34*2.20462/D30</f>
        <v>9178.1562034683775</v>
      </c>
      <c r="L33" s="8"/>
      <c r="M33" s="8"/>
      <c r="N33" s="8"/>
      <c r="O33" s="8"/>
      <c r="P33" s="23"/>
    </row>
    <row r="34" spans="1:16" x14ac:dyDescent="0.2">
      <c r="C34" t="s">
        <v>51</v>
      </c>
      <c r="D34" s="7">
        <f>0.453592*472037</f>
        <v>214112.20690399999</v>
      </c>
      <c r="E34" s="7">
        <f>0.453592*603246</f>
        <v>273627.55963199999</v>
      </c>
      <c r="F34" s="7">
        <v>292455.65601141704</v>
      </c>
      <c r="G34" s="7">
        <v>255581.43145788263</v>
      </c>
      <c r="H34" s="7">
        <v>254624.30216203985</v>
      </c>
      <c r="I34" s="7">
        <v>254368.94279505737</v>
      </c>
      <c r="J34" s="81">
        <v>253208.02968327689</v>
      </c>
      <c r="K34" s="81">
        <f>K$2*J34</f>
        <v>231934.93560724217</v>
      </c>
      <c r="L34" s="7">
        <v>256244</v>
      </c>
      <c r="M34" s="7">
        <v>254628</v>
      </c>
      <c r="N34" s="7">
        <v>256160</v>
      </c>
      <c r="O34" s="7">
        <v>256540</v>
      </c>
      <c r="P34" s="23">
        <v>1</v>
      </c>
    </row>
    <row r="35" spans="1:16" x14ac:dyDescent="0.2">
      <c r="C35" t="s">
        <v>52</v>
      </c>
      <c r="D35" s="7">
        <f>D34*7.53753</f>
        <v>1613877.182905107</v>
      </c>
      <c r="E35" s="7">
        <f t="shared" ref="E35:I35" si="19">E34*7.53753</f>
        <v>2062475.9395529889</v>
      </c>
      <c r="F35" s="7">
        <v>2204393.2808557362</v>
      </c>
      <c r="G35" s="7">
        <f t="shared" si="19"/>
        <v>1926452.7070567342</v>
      </c>
      <c r="H35" s="7">
        <f t="shared" si="19"/>
        <v>1919238.3162754404</v>
      </c>
      <c r="I35" s="7">
        <f t="shared" si="19"/>
        <v>1917313.5373860288</v>
      </c>
      <c r="J35" s="81">
        <f t="shared" ref="J35:L35" si="20">J34*7.53753</f>
        <v>1908563.1199785902</v>
      </c>
      <c r="K35" s="81">
        <f t="shared" ref="K35" si="21">K34*7.53753</f>
        <v>1748216.5351876561</v>
      </c>
      <c r="L35" s="7">
        <f t="shared" si="20"/>
        <v>1931446.8373200002</v>
      </c>
      <c r="M35" s="7">
        <f t="shared" ref="M35:N35" si="22">M34*7.53753</f>
        <v>1919266.18884</v>
      </c>
      <c r="N35" s="7">
        <f t="shared" si="22"/>
        <v>1930813.6848000002</v>
      </c>
      <c r="O35" s="7">
        <f t="shared" ref="O35" si="23">O34*7.53753</f>
        <v>1933677.9462000001</v>
      </c>
      <c r="P35" s="23">
        <v>2</v>
      </c>
    </row>
    <row r="36" spans="1:16" x14ac:dyDescent="0.2">
      <c r="C36" t="s">
        <v>53</v>
      </c>
      <c r="D36" s="7">
        <f>0.1246*92135*44.02</f>
        <v>505350.52442000009</v>
      </c>
      <c r="E36" s="7">
        <f>117745*0.1246*44.02</f>
        <v>645818.60854000004</v>
      </c>
      <c r="F36" s="7">
        <v>682665.54376397317</v>
      </c>
      <c r="G36" s="7">
        <f t="shared" ref="G36:O36" si="24">638716*G34/$E34</f>
        <v>596591.76800245827</v>
      </c>
      <c r="H36" s="7">
        <f t="shared" si="24"/>
        <v>594357.58590418682</v>
      </c>
      <c r="I36" s="7">
        <f t="shared" si="24"/>
        <v>593761.51249089127</v>
      </c>
      <c r="J36" s="81">
        <f t="shared" si="24"/>
        <v>591051.64737313346</v>
      </c>
      <c r="K36" s="81">
        <f t="shared" ref="K36" si="25">638716*K34/$E34</f>
        <v>541394.85997151968</v>
      </c>
      <c r="L36" s="7">
        <f t="shared" si="24"/>
        <v>598138.37072594196</v>
      </c>
      <c r="M36" s="7">
        <f t="shared" si="24"/>
        <v>594366.21759418817</v>
      </c>
      <c r="N36" s="7">
        <f t="shared" si="24"/>
        <v>597942.29345919238</v>
      </c>
      <c r="O36" s="7">
        <f t="shared" si="24"/>
        <v>598829.30966591672</v>
      </c>
      <c r="P36" s="23">
        <v>1</v>
      </c>
    </row>
    <row r="37" spans="1:16" x14ac:dyDescent="0.2">
      <c r="C37" t="s">
        <v>54</v>
      </c>
      <c r="D37" s="7">
        <f>(D36/0.453592)/(D30/1000)</f>
        <v>1714.1976450410109</v>
      </c>
      <c r="E37" s="7">
        <f t="shared" ref="E37:I37" si="26">(E36/0.453592*(1-E38))/(E30/1000)</f>
        <v>219.04422192919355</v>
      </c>
      <c r="F37" s="7">
        <v>231.47432623758581</v>
      </c>
      <c r="G37" s="7">
        <f t="shared" si="26"/>
        <v>202.4042883141733</v>
      </c>
      <c r="H37" s="7">
        <f t="shared" si="26"/>
        <v>201.64928762479175</v>
      </c>
      <c r="I37" s="7">
        <f t="shared" si="26"/>
        <v>201.75834172040439</v>
      </c>
      <c r="J37" s="81">
        <f t="shared" ref="J37:L37" si="27">(J36/0.453592*(1-J38))/(J30/1000)</f>
        <v>200.84114954776945</v>
      </c>
      <c r="K37" s="81">
        <f t="shared" ref="K37" si="28">(K36/0.453592*(1-K38))/(K30/1000)</f>
        <v>200.84114954776945</v>
      </c>
      <c r="L37" s="7">
        <f t="shared" si="27"/>
        <v>203.23968273123441</v>
      </c>
      <c r="M37" s="7">
        <f t="shared" ref="M37:N37" si="29">(M36/0.453592*(1-M38))/(M30/1000)</f>
        <v>201.9630079985958</v>
      </c>
      <c r="N37" s="7">
        <f t="shared" si="29"/>
        <v>203.17332339903552</v>
      </c>
      <c r="O37" s="7">
        <f t="shared" ref="O37" si="30">(O36/0.453592*(1-O38))/(O30/1000)</f>
        <v>203.47352122493385</v>
      </c>
      <c r="P37" s="23">
        <v>2</v>
      </c>
    </row>
    <row r="38" spans="1:16" x14ac:dyDescent="0.2">
      <c r="C38" t="s">
        <v>55</v>
      </c>
      <c r="D38">
        <v>0</v>
      </c>
      <c r="E38" s="10">
        <v>0.9</v>
      </c>
      <c r="F38" s="10">
        <v>0.9</v>
      </c>
      <c r="G38" s="10">
        <v>0.9</v>
      </c>
      <c r="H38" s="10">
        <v>0.9</v>
      </c>
      <c r="I38" s="10">
        <f>E38</f>
        <v>0.9</v>
      </c>
      <c r="J38" s="85">
        <f t="shared" ref="J38:O38" si="31">I38</f>
        <v>0.9</v>
      </c>
      <c r="K38" s="85">
        <f t="shared" si="31"/>
        <v>0.9</v>
      </c>
      <c r="L38" s="10">
        <f>K38</f>
        <v>0.9</v>
      </c>
      <c r="M38" s="10">
        <f t="shared" si="31"/>
        <v>0.9</v>
      </c>
      <c r="N38" s="10">
        <f t="shared" si="31"/>
        <v>0.9</v>
      </c>
      <c r="O38" s="10">
        <f t="shared" si="31"/>
        <v>0.9</v>
      </c>
      <c r="P38" s="23">
        <v>5</v>
      </c>
    </row>
    <row r="39" spans="1:16" x14ac:dyDescent="0.2">
      <c r="C39" t="s">
        <v>56</v>
      </c>
      <c r="D39">
        <v>0</v>
      </c>
      <c r="E39" s="10">
        <f t="shared" ref="E39:I39" si="32">((E34/E30)-($D34/$D30))/($D34/$D30)</f>
        <v>0.27782530096450303</v>
      </c>
      <c r="F39" s="10">
        <v>0.36535400649050237</v>
      </c>
      <c r="G39" s="10">
        <f t="shared" si="32"/>
        <v>0.19388404957258823</v>
      </c>
      <c r="H39" s="10">
        <f t="shared" si="32"/>
        <v>0.18943066922192195</v>
      </c>
      <c r="I39" s="10">
        <f t="shared" si="32"/>
        <v>0.19007392607372525</v>
      </c>
      <c r="J39" s="85">
        <f t="shared" ref="J39:L39" si="33">((J34/J30)-($D34/$D30))/($D34/$D30)</f>
        <v>0.18466385737200861</v>
      </c>
      <c r="K39" s="85">
        <f t="shared" ref="K39" si="34">((K34/K30)-($D34/$D30))/($D34/$D30)</f>
        <v>0.18466385737200861</v>
      </c>
      <c r="L39" s="10">
        <f t="shared" si="33"/>
        <v>0.1988116332613441</v>
      </c>
      <c r="M39" s="10">
        <f t="shared" ref="M39:N39" si="35">((M34/M30)-($D34/$D30))/($D34/$D30)</f>
        <v>0.19128115249690672</v>
      </c>
      <c r="N39" s="10">
        <f t="shared" si="35"/>
        <v>0.19842021196828552</v>
      </c>
      <c r="O39" s="10">
        <f t="shared" ref="O39" si="36">((O34/O30)-($D34/$D30))/($D34/$D30)</f>
        <v>0.20019093233711546</v>
      </c>
      <c r="P39" s="23">
        <v>2</v>
      </c>
    </row>
    <row r="40" spans="1:16" x14ac:dyDescent="0.2">
      <c r="B40" t="s">
        <v>57</v>
      </c>
      <c r="D40" s="11">
        <f t="shared" ref="D40:E40" si="37">D34*24*0.00110231*D41*365*52.02/1000000</f>
        <v>91.419439634332804</v>
      </c>
      <c r="E40" s="11">
        <f t="shared" si="37"/>
        <v>116.83069607181794</v>
      </c>
      <c r="F40" s="11">
        <v>124.8697240435359</v>
      </c>
      <c r="G40" s="11">
        <f t="shared" ref="G40:J40" si="38">G34*24*0.00110231*G41*365*52.02/1000000</f>
        <v>109.12554488449285</v>
      </c>
      <c r="H40" s="11">
        <f t="shared" si="38"/>
        <v>108.71687960964104</v>
      </c>
      <c r="I40" s="11">
        <f t="shared" si="38"/>
        <v>108.60784887957445</v>
      </c>
      <c r="J40" s="86">
        <f t="shared" si="38"/>
        <v>108.11217407579873</v>
      </c>
      <c r="K40" s="86">
        <f t="shared" ref="K40" si="39">K34*24*0.00110231*K41*365*52.02/1000000</f>
        <v>90.709337084702128</v>
      </c>
      <c r="L40" s="11">
        <f t="shared" ref="L40:M40" si="40">L34*24*0.00110231*L41*365*52.02/1000000</f>
        <v>109.40844162221535</v>
      </c>
      <c r="M40" s="11">
        <f t="shared" si="40"/>
        <v>108.71845847466263</v>
      </c>
      <c r="N40" s="11">
        <f t="shared" ref="N40:O40" si="41">N34*24*0.00110231*N41*365*52.02/1000000</f>
        <v>109.37257616157524</v>
      </c>
      <c r="O40" s="11">
        <f t="shared" si="41"/>
        <v>109.53482467399481</v>
      </c>
      <c r="P40" s="23">
        <v>2</v>
      </c>
    </row>
    <row r="41" spans="1:16" x14ac:dyDescent="0.2">
      <c r="C41" t="s">
        <v>58</v>
      </c>
      <c r="D41" s="10">
        <v>0.85</v>
      </c>
      <c r="E41" s="10">
        <f t="shared" ref="E41:O41" si="42">D41</f>
        <v>0.85</v>
      </c>
      <c r="F41" s="10">
        <v>0.85</v>
      </c>
      <c r="G41" s="10">
        <v>0.85</v>
      </c>
      <c r="H41" s="10">
        <v>0.85</v>
      </c>
      <c r="I41" s="10">
        <f>E41</f>
        <v>0.85</v>
      </c>
      <c r="J41" s="85">
        <f t="shared" si="42"/>
        <v>0.85</v>
      </c>
      <c r="K41" s="85">
        <f>K$2*J41</f>
        <v>0.77858784933776626</v>
      </c>
      <c r="L41" s="10">
        <f>J41</f>
        <v>0.85</v>
      </c>
      <c r="M41" s="10">
        <f t="shared" si="42"/>
        <v>0.85</v>
      </c>
      <c r="N41" s="10">
        <f t="shared" si="42"/>
        <v>0.85</v>
      </c>
      <c r="O41" s="10">
        <f t="shared" si="42"/>
        <v>0.85</v>
      </c>
      <c r="P41" s="23">
        <v>5</v>
      </c>
    </row>
    <row r="42" spans="1:16" x14ac:dyDescent="0.2">
      <c r="A42" s="12"/>
      <c r="B42" s="12" t="s">
        <v>59</v>
      </c>
      <c r="C42" s="12"/>
      <c r="D42" s="13">
        <f>D40*1000000/(D41*365*24*D30)*100</f>
        <v>1.8890744872906466</v>
      </c>
      <c r="E42" s="13">
        <f t="shared" ref="E42:I42" si="43">E40*1000000/(E41*365*24*E30)*100</f>
        <v>2.4139071752665346</v>
      </c>
      <c r="F42" s="13">
        <v>2.5792554197812767</v>
      </c>
      <c r="G42" s="13">
        <v>2.2553358988308183</v>
      </c>
      <c r="H42" s="13">
        <v>2.2469231316281735</v>
      </c>
      <c r="I42" s="13">
        <f t="shared" si="43"/>
        <v>2.2481382917356902</v>
      </c>
      <c r="J42" s="87">
        <f t="shared" ref="J42:L42" si="44">J40*1000000/(J41*365*24*J30)*100</f>
        <v>2.2379182689767867</v>
      </c>
      <c r="K42" s="87">
        <f t="shared" si="44"/>
        <v>2.2379182689767867</v>
      </c>
      <c r="L42" s="13">
        <f t="shared" si="44"/>
        <v>2.2646444714612368</v>
      </c>
      <c r="M42" s="13">
        <f t="shared" ref="M42:N42" si="45">M40*1000000/(M41*365*24*M30)*100</f>
        <v>2.2504188323721053</v>
      </c>
      <c r="N42" s="13">
        <f t="shared" si="45"/>
        <v>2.2639050474827376</v>
      </c>
      <c r="O42" s="13">
        <f t="shared" ref="O42" si="46">O40*1000000/(O41*365*24*O30)*100</f>
        <v>2.2672500701556202</v>
      </c>
      <c r="P42" s="24">
        <v>2</v>
      </c>
    </row>
    <row r="43" spans="1:16" ht="16.5" customHeight="1" x14ac:dyDescent="0.2">
      <c r="A43" s="5" t="s">
        <v>60</v>
      </c>
      <c r="B43" s="6"/>
      <c r="C43" s="6"/>
      <c r="D43" s="6"/>
      <c r="E43" s="6"/>
      <c r="F43" s="6"/>
      <c r="G43" s="6"/>
      <c r="H43" s="6"/>
      <c r="I43" s="6"/>
      <c r="J43" s="80"/>
      <c r="K43" s="80"/>
      <c r="L43" s="6"/>
      <c r="M43" s="6"/>
      <c r="N43" s="6"/>
      <c r="O43" s="6"/>
      <c r="P43" s="25"/>
    </row>
    <row r="44" spans="1:16" x14ac:dyDescent="0.2">
      <c r="B44" t="s">
        <v>61</v>
      </c>
      <c r="J44" s="82"/>
      <c r="K44" s="82"/>
    </row>
    <row r="45" spans="1:16" x14ac:dyDescent="0.2">
      <c r="B45">
        <v>1</v>
      </c>
      <c r="C45" t="s">
        <v>62</v>
      </c>
      <c r="D45" s="14">
        <v>118</v>
      </c>
      <c r="E45" s="14">
        <v>138</v>
      </c>
      <c r="F45" s="14">
        <v>143.95081800136268</v>
      </c>
      <c r="G45" s="14">
        <v>132.15155917831203</v>
      </c>
      <c r="H45" s="14">
        <v>131.83715706358859</v>
      </c>
      <c r="I45" s="14">
        <v>131.75320135748862</v>
      </c>
      <c r="J45" s="88">
        <v>131.37112722888389</v>
      </c>
      <c r="K45" s="88">
        <f t="shared" ref="K45:K61" si="47">K$2*J45</f>
        <v>120.33407460495856</v>
      </c>
      <c r="L45" s="14">
        <v>132.36896725244623</v>
      </c>
      <c r="M45" s="14">
        <v>131.8385306179143</v>
      </c>
      <c r="N45" s="14">
        <v>132.34133203577724</v>
      </c>
      <c r="O45" s="14">
        <v>132.46608991853384</v>
      </c>
      <c r="P45" s="23">
        <v>4</v>
      </c>
    </row>
    <row r="46" spans="1:16" x14ac:dyDescent="0.2">
      <c r="B46">
        <v>2</v>
      </c>
      <c r="C46" t="s">
        <v>63</v>
      </c>
      <c r="D46" s="14">
        <v>33</v>
      </c>
      <c r="E46" s="14">
        <v>39</v>
      </c>
      <c r="F46" s="14">
        <v>40.797647447841712</v>
      </c>
      <c r="G46" s="14">
        <v>37.238409817430842</v>
      </c>
      <c r="H46" s="14">
        <v>37.14385773590854</v>
      </c>
      <c r="I46" s="14">
        <v>37.118611810497114</v>
      </c>
      <c r="J46" s="88">
        <v>37.003733912825204</v>
      </c>
      <c r="K46" s="88">
        <f t="shared" si="47"/>
        <v>33.894891299592402</v>
      </c>
      <c r="L46" s="14">
        <v>37.303801211199996</v>
      </c>
      <c r="M46" s="14">
        <v>37.144270764200179</v>
      </c>
      <c r="N46" s="14">
        <v>37.295488760669727</v>
      </c>
      <c r="O46" s="14">
        <v>37.333015862107693</v>
      </c>
      <c r="P46" s="23">
        <v>4</v>
      </c>
    </row>
    <row r="47" spans="1:16" x14ac:dyDescent="0.2">
      <c r="B47">
        <v>3</v>
      </c>
      <c r="C47" t="s">
        <v>64</v>
      </c>
      <c r="D47" s="14">
        <v>176</v>
      </c>
      <c r="E47" s="14">
        <v>243</v>
      </c>
      <c r="F47" s="14">
        <v>253.75590065714789</v>
      </c>
      <c r="G47" s="14">
        <v>232.44095634526846</v>
      </c>
      <c r="H47" s="14">
        <v>231.87366146132169</v>
      </c>
      <c r="I47" s="14">
        <v>231.72218104314678</v>
      </c>
      <c r="J47" s="88">
        <v>231.03284049098548</v>
      </c>
      <c r="K47" s="88">
        <f t="shared" si="47"/>
        <v>211.62277929914305</v>
      </c>
      <c r="L47" s="14">
        <v>232.83325956358948</v>
      </c>
      <c r="M47" s="14">
        <v>231.87613973420727</v>
      </c>
      <c r="N47" s="14">
        <v>232.78339210254376</v>
      </c>
      <c r="O47" s="14">
        <v>233.00851856188655</v>
      </c>
      <c r="P47" s="23">
        <v>4</v>
      </c>
    </row>
    <row r="48" spans="1:16" x14ac:dyDescent="0.2">
      <c r="B48">
        <v>4</v>
      </c>
      <c r="C48" t="s">
        <v>65</v>
      </c>
      <c r="D48" s="14">
        <v>842</v>
      </c>
      <c r="E48" s="14">
        <v>1013</v>
      </c>
      <c r="F48" s="14">
        <v>1064.8336377687449</v>
      </c>
      <c r="G48" s="14">
        <v>962.4563603321136</v>
      </c>
      <c r="H48" s="14">
        <v>959.75066882221199</v>
      </c>
      <c r="I48" s="14">
        <v>959.02836023593034</v>
      </c>
      <c r="J48" s="88">
        <v>955.742271884356</v>
      </c>
      <c r="K48" s="88">
        <f t="shared" si="47"/>
        <v>875.44625880897809</v>
      </c>
      <c r="L48" s="14">
        <v>964.3280271015467</v>
      </c>
      <c r="M48" s="14">
        <v>959.76248572104873</v>
      </c>
      <c r="N48" s="14">
        <v>964.09008399734785</v>
      </c>
      <c r="O48" s="14">
        <v>965.16433919055328</v>
      </c>
      <c r="P48" s="23">
        <v>4</v>
      </c>
    </row>
    <row r="49" spans="1:16" x14ac:dyDescent="0.2">
      <c r="B49" s="15" t="s">
        <v>66</v>
      </c>
      <c r="C49" t="s">
        <v>67</v>
      </c>
      <c r="D49" s="14">
        <v>185</v>
      </c>
      <c r="E49" s="14">
        <f>200+2+12+5+1+2</f>
        <v>222</v>
      </c>
      <c r="F49" s="14">
        <v>233.19673883289315</v>
      </c>
      <c r="G49" s="14">
        <v>211.07414898153948</v>
      </c>
      <c r="H49" s="14">
        <v>210.48904464937922</v>
      </c>
      <c r="I49" s="14">
        <v>210.3328418861816</v>
      </c>
      <c r="J49" s="88">
        <v>209.62218831067733</v>
      </c>
      <c r="K49" s="88">
        <f t="shared" si="47"/>
        <v>192.01092796504295</v>
      </c>
      <c r="L49" s="14">
        <v>211.47888239184894</v>
      </c>
      <c r="M49" s="14">
        <v>210.49160011640808</v>
      </c>
      <c r="N49" s="14">
        <v>211.42742965838212</v>
      </c>
      <c r="O49" s="14">
        <v>211.65972480850886</v>
      </c>
      <c r="P49" s="23">
        <v>4</v>
      </c>
    </row>
    <row r="50" spans="1:16" x14ac:dyDescent="0.2">
      <c r="B50">
        <v>7</v>
      </c>
      <c r="C50" t="s">
        <v>68</v>
      </c>
      <c r="D50" s="14">
        <v>32</v>
      </c>
      <c r="E50" s="14">
        <v>32</v>
      </c>
      <c r="F50" s="14">
        <v>34.191941711216586</v>
      </c>
      <c r="G50" s="14">
        <v>32.008932039378848</v>
      </c>
      <c r="H50" s="14">
        <v>29.786373290912657</v>
      </c>
      <c r="I50" s="14">
        <v>29.75661845141817</v>
      </c>
      <c r="J50" s="88">
        <v>29.621344228364329</v>
      </c>
      <c r="K50" s="88">
        <f t="shared" si="47"/>
        <v>27.132727879124516</v>
      </c>
      <c r="L50" s="14">
        <v>29.975104559161629</v>
      </c>
      <c r="M50" s="14">
        <v>29.786860076699945</v>
      </c>
      <c r="N50" s="14">
        <v>29.965286528056971</v>
      </c>
      <c r="O50" s="14">
        <v>30.009618875881728</v>
      </c>
      <c r="P50" s="23">
        <v>4</v>
      </c>
    </row>
    <row r="51" spans="1:16" x14ac:dyDescent="0.2">
      <c r="B51">
        <v>8</v>
      </c>
      <c r="C51" t="s">
        <v>69</v>
      </c>
      <c r="D51" s="14">
        <v>312</v>
      </c>
      <c r="E51" s="14">
        <v>339</v>
      </c>
      <c r="F51" s="14">
        <v>342.30917139588809</v>
      </c>
      <c r="G51" s="14">
        <v>332.65969069996783</v>
      </c>
      <c r="H51" s="14">
        <v>330.47168036331175</v>
      </c>
      <c r="I51" s="14">
        <v>333.39575546809237</v>
      </c>
      <c r="J51" s="88">
        <v>332.14046387615269</v>
      </c>
      <c r="K51" s="88">
        <f t="shared" si="47"/>
        <v>304.23591699691974</v>
      </c>
      <c r="L51" s="14">
        <v>333.34248278418869</v>
      </c>
      <c r="M51" s="14">
        <v>330.89501103538294</v>
      </c>
      <c r="N51" s="14">
        <v>333.53931773857312</v>
      </c>
      <c r="O51" s="14">
        <v>332.73257165540798</v>
      </c>
      <c r="P51" s="23">
        <v>4</v>
      </c>
    </row>
    <row r="52" spans="1:16" x14ac:dyDescent="0.2">
      <c r="B52">
        <v>9</v>
      </c>
      <c r="C52" t="s">
        <v>70</v>
      </c>
      <c r="D52" s="14">
        <v>98</v>
      </c>
      <c r="E52" s="14">
        <v>146</v>
      </c>
      <c r="F52" s="14">
        <v>90.445558975523056</v>
      </c>
      <c r="G52" s="14">
        <v>126.54023410308812</v>
      </c>
      <c r="H52" s="14">
        <v>127.52810563234935</v>
      </c>
      <c r="I52" s="14">
        <v>111.46118572912985</v>
      </c>
      <c r="J52" s="88">
        <v>111.83108124856577</v>
      </c>
      <c r="K52" s="88">
        <f t="shared" si="47"/>
        <v>102.43567180992684</v>
      </c>
      <c r="L52" s="14">
        <v>112.05474798452424</v>
      </c>
      <c r="M52" s="14">
        <v>112.35820971103894</v>
      </c>
      <c r="N52" s="14">
        <v>110.98178830009927</v>
      </c>
      <c r="O52" s="14">
        <v>110.51227034851773</v>
      </c>
      <c r="P52" s="23">
        <v>4</v>
      </c>
    </row>
    <row r="53" spans="1:16" x14ac:dyDescent="0.2">
      <c r="B53">
        <v>10</v>
      </c>
      <c r="C53" t="s">
        <v>71</v>
      </c>
      <c r="D53" s="14">
        <v>26</v>
      </c>
      <c r="E53" s="14">
        <v>30</v>
      </c>
      <c r="F53" s="14">
        <v>31.179513120204753</v>
      </c>
      <c r="G53" s="14">
        <v>28.836433206856398</v>
      </c>
      <c r="H53" s="14">
        <v>28.773755953264722</v>
      </c>
      <c r="I53" s="14">
        <v>28.757016855669267</v>
      </c>
      <c r="J53" s="88">
        <v>28.680827088505787</v>
      </c>
      <c r="K53" s="88">
        <f t="shared" si="47"/>
        <v>26.271227623609491</v>
      </c>
      <c r="L53" s="14">
        <v>28.879766721602433</v>
      </c>
      <c r="M53" s="14">
        <v>28.774029820697145</v>
      </c>
      <c r="N53" s="14">
        <v>28.874258851010346</v>
      </c>
      <c r="O53" s="14">
        <v>28.89912307577568</v>
      </c>
      <c r="P53" s="23">
        <v>4</v>
      </c>
    </row>
    <row r="54" spans="1:16" x14ac:dyDescent="0.2">
      <c r="B54">
        <v>11</v>
      </c>
      <c r="C54" t="s">
        <v>72</v>
      </c>
      <c r="D54" s="14">
        <v>77</v>
      </c>
      <c r="E54" s="14">
        <v>113</v>
      </c>
      <c r="F54" s="14">
        <v>125.36108669083551</v>
      </c>
      <c r="G54" s="14">
        <v>101.5889334189779</v>
      </c>
      <c r="H54" s="14">
        <v>100.9959051399664</v>
      </c>
      <c r="I54" s="14">
        <v>100.8378967522581</v>
      </c>
      <c r="J54" s="88">
        <v>100.12067605638738</v>
      </c>
      <c r="K54" s="88">
        <f t="shared" si="47"/>
        <v>91.70910805292452</v>
      </c>
      <c r="L54" s="14">
        <v>102.00021939506493</v>
      </c>
      <c r="M54" s="14">
        <v>100.99849052222852</v>
      </c>
      <c r="N54" s="14">
        <v>101.94788490777006</v>
      </c>
      <c r="O54" s="14">
        <v>102.18427338748663</v>
      </c>
      <c r="P54" s="23">
        <v>4</v>
      </c>
    </row>
    <row r="55" spans="1:16" x14ac:dyDescent="0.2">
      <c r="B55">
        <v>12</v>
      </c>
      <c r="C55" t="s">
        <v>73</v>
      </c>
      <c r="D55" s="14">
        <v>31</v>
      </c>
      <c r="E55" s="14">
        <v>38</v>
      </c>
      <c r="F55" s="14">
        <v>40.147659879121761</v>
      </c>
      <c r="G55" s="14">
        <v>35.916595903561465</v>
      </c>
      <c r="H55" s="14">
        <v>35.805377854263298</v>
      </c>
      <c r="I55" s="14">
        <v>35.775692619735821</v>
      </c>
      <c r="J55" s="88">
        <v>35.640670779912803</v>
      </c>
      <c r="K55" s="88">
        <f t="shared" si="47"/>
        <v>32.646344954691386</v>
      </c>
      <c r="L55" s="14">
        <v>35.993549880769457</v>
      </c>
      <c r="M55" s="14">
        <v>35.805863497774837</v>
      </c>
      <c r="N55" s="14">
        <v>35.98376594807447</v>
      </c>
      <c r="O55" s="14">
        <v>36.027939981683062</v>
      </c>
      <c r="P55" s="23">
        <v>4</v>
      </c>
    </row>
    <row r="56" spans="1:16" x14ac:dyDescent="0.2">
      <c r="B56">
        <v>13</v>
      </c>
      <c r="C56" t="s">
        <v>74</v>
      </c>
      <c r="D56" s="14">
        <v>41</v>
      </c>
      <c r="E56" s="14">
        <v>46</v>
      </c>
      <c r="F56" s="14">
        <v>47.446362132318221</v>
      </c>
      <c r="G56" s="14">
        <v>44.561989976273928</v>
      </c>
      <c r="H56" s="14">
        <v>44.48420358794597</v>
      </c>
      <c r="I56" s="14">
        <v>44.463423592370624</v>
      </c>
      <c r="J56" s="88">
        <v>44.368810672641651</v>
      </c>
      <c r="K56" s="88">
        <f t="shared" si="47"/>
        <v>40.641196328572462</v>
      </c>
      <c r="L56" s="14">
        <v>44.615749865599341</v>
      </c>
      <c r="M56" s="14">
        <v>44.484543603745848</v>
      </c>
      <c r="N56" s="14">
        <v>44.60891766161582</v>
      </c>
      <c r="O56" s="14">
        <v>44.639758268991848</v>
      </c>
      <c r="P56" s="23">
        <v>4</v>
      </c>
    </row>
    <row r="57" spans="1:16" x14ac:dyDescent="0.2">
      <c r="B57">
        <v>14</v>
      </c>
      <c r="C57" t="s">
        <v>75</v>
      </c>
      <c r="D57" s="14">
        <v>126</v>
      </c>
      <c r="E57" s="14">
        <v>127</v>
      </c>
      <c r="F57" s="14">
        <v>135.69926866639082</v>
      </c>
      <c r="G57" s="14">
        <v>118.6572798185115</v>
      </c>
      <c r="H57" s="14">
        <v>118.21466899830961</v>
      </c>
      <c r="I57" s="14">
        <v>118.09657947906588</v>
      </c>
      <c r="J57" s="88">
        <v>117.55970990632093</v>
      </c>
      <c r="K57" s="88">
        <f t="shared" si="47"/>
        <v>107.68301377027542</v>
      </c>
      <c r="L57" s="14">
        <v>118.9636962191727</v>
      </c>
      <c r="M57" s="14">
        <v>118.21660092940293</v>
      </c>
      <c r="N57" s="14">
        <v>118.92473090822608</v>
      </c>
      <c r="O57" s="14">
        <v>119.1006749136556</v>
      </c>
      <c r="P57" s="23">
        <v>4</v>
      </c>
    </row>
    <row r="58" spans="1:16" x14ac:dyDescent="0.2">
      <c r="B58" t="s">
        <v>76</v>
      </c>
      <c r="D58" s="14"/>
      <c r="J58" s="82"/>
      <c r="K58" s="82"/>
      <c r="P58" s="23"/>
    </row>
    <row r="59" spans="1:16" x14ac:dyDescent="0.2">
      <c r="B59" t="s">
        <v>77</v>
      </c>
      <c r="C59" t="s">
        <v>78</v>
      </c>
      <c r="D59" s="14"/>
      <c r="E59" s="14">
        <v>1137</v>
      </c>
      <c r="F59" s="14">
        <v>1485.6935846446765</v>
      </c>
      <c r="G59" s="14">
        <v>943.5450096371469</v>
      </c>
      <c r="H59" s="14">
        <v>914.41699693665328</v>
      </c>
      <c r="I59" s="14">
        <v>928.6872876447095</v>
      </c>
      <c r="J59" s="88">
        <v>897.4680786240101</v>
      </c>
      <c r="K59" s="88">
        <f t="shared" si="47"/>
        <v>822.06793080607679</v>
      </c>
      <c r="L59" s="14">
        <v>989.5065838899061</v>
      </c>
      <c r="M59" s="14">
        <v>971.05659417396998</v>
      </c>
      <c r="N59" s="14">
        <v>1066.0689830159106</v>
      </c>
      <c r="O59" s="14">
        <v>1046.5713283413493</v>
      </c>
      <c r="P59" s="23" t="s">
        <v>131</v>
      </c>
    </row>
    <row r="60" spans="1:16" x14ac:dyDescent="0.2">
      <c r="B60" t="s">
        <v>79</v>
      </c>
      <c r="C60" t="s">
        <v>80</v>
      </c>
      <c r="D60" s="14"/>
      <c r="E60" s="14">
        <f>133+2</f>
        <v>135</v>
      </c>
      <c r="F60" s="14">
        <v>147.20186202509333</v>
      </c>
      <c r="G60" s="14">
        <v>121.15969860459302</v>
      </c>
      <c r="H60" s="14">
        <v>103.64747067223507</v>
      </c>
      <c r="I60" s="14">
        <f>'Case EEDIDA SS'!G102/'COE and Carbon Capture Cost'!I30</f>
        <v>118.22582412909438</v>
      </c>
      <c r="J60" s="88">
        <f>'Case EEDIDA TSF'!G100/'COE and Carbon Capture Cost'!J30</f>
        <v>108.20508288378639</v>
      </c>
      <c r="K60" s="88">
        <f t="shared" si="47"/>
        <v>99.114309141061156</v>
      </c>
      <c r="L60" s="14">
        <f>'Case MPMPA SS'!G102/'COE and Carbon Capture Cost'!L30</f>
        <v>127.23088850776277</v>
      </c>
      <c r="M60" s="14">
        <f>'Case MPMPA TSF'!G100/'COE and Carbon Capture Cost'!M30</f>
        <v>107.18964658729392</v>
      </c>
      <c r="N60" s="14">
        <f>'Case MPMEA SS'!G102/'COE and Carbon Capture Cost'!N30</f>
        <v>127.04765365248488</v>
      </c>
      <c r="O60" s="14">
        <f>'Case MPMEA TSF'!G100/'COE and Carbon Capture Cost'!O30</f>
        <v>120.13278563818244</v>
      </c>
      <c r="P60" s="23" t="s">
        <v>201</v>
      </c>
    </row>
    <row r="61" spans="1:16" x14ac:dyDescent="0.2">
      <c r="C61" t="s">
        <v>81</v>
      </c>
      <c r="D61" s="14">
        <f>65+42+3+1+315+57+2</f>
        <v>485</v>
      </c>
      <c r="E61" s="14">
        <f>113+63+4+1+570+103+2</f>
        <v>856</v>
      </c>
      <c r="F61" s="14">
        <v>914.90068428215511</v>
      </c>
      <c r="G61" s="14">
        <v>799.54557801918895</v>
      </c>
      <c r="H61" s="14">
        <v>796.55135229739653</v>
      </c>
      <c r="I61" s="14">
        <v>795.75250141252604</v>
      </c>
      <c r="J61" s="88">
        <v>792.1207706576979</v>
      </c>
      <c r="K61" s="88">
        <f t="shared" si="47"/>
        <v>725.57130263782472</v>
      </c>
      <c r="L61" s="14">
        <v>801.61850651317843</v>
      </c>
      <c r="M61" s="14">
        <v>796.56441639085301</v>
      </c>
      <c r="N61" s="14">
        <v>801.35490043772779</v>
      </c>
      <c r="O61" s="14">
        <v>802.54519303713653</v>
      </c>
      <c r="P61" s="23">
        <v>4</v>
      </c>
    </row>
    <row r="62" spans="1:16" x14ac:dyDescent="0.2">
      <c r="B62" t="s">
        <v>82</v>
      </c>
      <c r="D62" s="14">
        <f t="shared" ref="D62:M62" si="48">SUM(D45:D61)</f>
        <v>2582</v>
      </c>
      <c r="E62" s="14">
        <f t="shared" si="48"/>
        <v>4654</v>
      </c>
      <c r="F62" s="14">
        <v>5131.1114362314147</v>
      </c>
      <c r="G62" s="14">
        <f t="shared" si="48"/>
        <v>4260.3818100822091</v>
      </c>
      <c r="H62" s="14">
        <f t="shared" si="48"/>
        <v>4201.770280459019</v>
      </c>
      <c r="I62" s="14">
        <f t="shared" si="48"/>
        <v>4215.1649784673145</v>
      </c>
      <c r="J62" s="88">
        <f t="shared" si="48"/>
        <v>4162.5296778500742</v>
      </c>
      <c r="K62" s="88">
        <f t="shared" si="48"/>
        <v>3812.8176819787222</v>
      </c>
      <c r="L62" s="14">
        <f t="shared" si="48"/>
        <v>4302.4942338415613</v>
      </c>
      <c r="M62" s="14">
        <f t="shared" si="48"/>
        <v>4247.2432933028667</v>
      </c>
      <c r="N62" s="14">
        <f t="shared" ref="N62" si="49">SUM(N45:N61)</f>
        <v>4377.2352145042696</v>
      </c>
      <c r="O62" s="14">
        <f t="shared" ref="O62" si="50">SUM(O45:O61)</f>
        <v>4352.9872258656587</v>
      </c>
      <c r="P62" s="23">
        <v>2</v>
      </c>
    </row>
    <row r="63" spans="1:16" x14ac:dyDescent="0.2">
      <c r="C63" t="s">
        <v>83</v>
      </c>
      <c r="D63" s="16">
        <v>8.1600000000000006E-2</v>
      </c>
      <c r="E63" s="16">
        <v>8.1600000000000006E-2</v>
      </c>
      <c r="F63" s="16">
        <v>8.1600000000000006E-2</v>
      </c>
      <c r="G63" s="16">
        <f>D63</f>
        <v>8.1600000000000006E-2</v>
      </c>
      <c r="H63" s="16">
        <f>D63</f>
        <v>8.1600000000000006E-2</v>
      </c>
      <c r="I63" s="16">
        <f>E63</f>
        <v>8.1600000000000006E-2</v>
      </c>
      <c r="J63" s="89">
        <f>I63</f>
        <v>8.1600000000000006E-2</v>
      </c>
      <c r="K63" s="89">
        <f>J63</f>
        <v>8.1600000000000006E-2</v>
      </c>
      <c r="L63" s="16">
        <f>K63</f>
        <v>8.1600000000000006E-2</v>
      </c>
      <c r="M63" s="16">
        <f>L63</f>
        <v>8.1600000000000006E-2</v>
      </c>
      <c r="N63" s="16">
        <f t="shared" ref="N63:O63" si="51">M63</f>
        <v>8.1600000000000006E-2</v>
      </c>
      <c r="O63" s="16">
        <f t="shared" si="51"/>
        <v>8.1600000000000006E-2</v>
      </c>
      <c r="P63" s="23">
        <v>5</v>
      </c>
    </row>
    <row r="64" spans="1:16" x14ac:dyDescent="0.2">
      <c r="A64" s="12"/>
      <c r="B64" s="12" t="s">
        <v>84</v>
      </c>
      <c r="C64" s="12"/>
      <c r="D64" s="17">
        <f t="shared" ref="D64:M64" si="52">D62*D63/(D41*365*24)*100</f>
        <v>2.8295890410958906</v>
      </c>
      <c r="E64" s="17">
        <f t="shared" si="52"/>
        <v>5.1002739726027402</v>
      </c>
      <c r="F64" s="17">
        <v>5.6231358205275788</v>
      </c>
      <c r="G64" s="17">
        <f t="shared" si="52"/>
        <v>4.6689115726928323</v>
      </c>
      <c r="H64" s="17">
        <f t="shared" si="52"/>
        <v>4.6046797594071442</v>
      </c>
      <c r="I64" s="17">
        <f t="shared" si="52"/>
        <v>4.6193588805121255</v>
      </c>
      <c r="J64" s="90">
        <f t="shared" si="52"/>
        <v>4.5616763592877527</v>
      </c>
      <c r="K64" s="90">
        <f t="shared" si="52"/>
        <v>4.5616763592877518</v>
      </c>
      <c r="L64" s="17">
        <f t="shared" si="52"/>
        <v>4.7150621740729441</v>
      </c>
      <c r="M64" s="17">
        <f t="shared" si="52"/>
        <v>4.654513198140128</v>
      </c>
      <c r="N64" s="17">
        <f t="shared" ref="N64" si="53">N62*N63/(N41*365*24)*100</f>
        <v>4.7969700980868719</v>
      </c>
      <c r="O64" s="17">
        <f t="shared" ref="O64" si="54">O62*O63/(O41*365*24)*100</f>
        <v>4.7703969598527767</v>
      </c>
      <c r="P64" s="24">
        <v>2</v>
      </c>
    </row>
    <row r="65" spans="1:16" ht="15.75" customHeight="1" x14ac:dyDescent="0.2">
      <c r="A65" s="5" t="s">
        <v>85</v>
      </c>
      <c r="B65" s="6"/>
      <c r="C65" s="6"/>
      <c r="D65" s="6"/>
      <c r="E65" s="6"/>
      <c r="F65" s="6"/>
      <c r="G65" s="6"/>
      <c r="H65" s="6"/>
      <c r="I65" s="6"/>
      <c r="J65" s="80"/>
      <c r="K65" s="80"/>
      <c r="L65" s="6"/>
      <c r="M65" s="6"/>
      <c r="N65" s="6"/>
      <c r="O65" s="6"/>
      <c r="P65" s="25"/>
    </row>
    <row r="66" spans="1:16" ht="15.75" customHeight="1" x14ac:dyDescent="0.2">
      <c r="B66" t="s">
        <v>86</v>
      </c>
      <c r="J66" s="82"/>
      <c r="K66" s="82"/>
    </row>
    <row r="67" spans="1:16" x14ac:dyDescent="0.2">
      <c r="C67" t="s">
        <v>87</v>
      </c>
      <c r="D67" s="14">
        <v>13094.714</v>
      </c>
      <c r="E67" s="14">
        <v>23696.384999999998</v>
      </c>
      <c r="F67" s="14">
        <v>25326.914546160508</v>
      </c>
      <c r="G67" s="14">
        <v>22133.574581530655</v>
      </c>
      <c r="H67" s="14">
        <v>22050.686350829139</v>
      </c>
      <c r="I67" s="14">
        <v>22028.572007224604</v>
      </c>
      <c r="J67" s="88">
        <v>21928.035920562514</v>
      </c>
      <c r="K67" s="88">
        <f t="shared" ref="K67:K77" si="55">K$2*J67</f>
        <v>20085.767444225945</v>
      </c>
      <c r="L67" s="14">
        <v>22190.958824137011</v>
      </c>
      <c r="M67" s="14">
        <v>22051.048000114442</v>
      </c>
      <c r="N67" s="14">
        <v>22183.661498141431</v>
      </c>
      <c r="O67" s="14">
        <v>22216.612002461807</v>
      </c>
      <c r="P67" s="23">
        <v>4</v>
      </c>
    </row>
    <row r="68" spans="1:16" x14ac:dyDescent="0.2">
      <c r="C68" t="s">
        <v>88</v>
      </c>
      <c r="D68" s="14">
        <v>2569.326</v>
      </c>
      <c r="E68" s="14">
        <v>4206.5230000000001</v>
      </c>
      <c r="F68" s="14">
        <v>4495.9705270427849</v>
      </c>
      <c r="G68" s="14">
        <v>3929.0968031378657</v>
      </c>
      <c r="H68" s="14">
        <v>3914.3826917290908</v>
      </c>
      <c r="I68" s="14">
        <v>3910.4570087608918</v>
      </c>
      <c r="J68" s="88">
        <v>3892.6100940996866</v>
      </c>
      <c r="K68" s="88">
        <f t="shared" si="55"/>
        <v>3565.5752017359468</v>
      </c>
      <c r="L68" s="14">
        <v>3939.2835103660454</v>
      </c>
      <c r="M68" s="14">
        <v>3914.4468908057247</v>
      </c>
      <c r="N68" s="14">
        <v>3937.9881073060888</v>
      </c>
      <c r="O68" s="14">
        <v>3943.8373984230784</v>
      </c>
      <c r="P68" s="23">
        <v>4</v>
      </c>
    </row>
    <row r="69" spans="1:16" x14ac:dyDescent="0.2">
      <c r="C69" t="s">
        <v>89</v>
      </c>
      <c r="D69" s="14">
        <v>2215.5329999999999</v>
      </c>
      <c r="E69" s="14">
        <v>3627.2910000000002</v>
      </c>
      <c r="F69" s="14">
        <v>3876.8820303627367</v>
      </c>
      <c r="G69" s="14">
        <v>3388.0659804191614</v>
      </c>
      <c r="H69" s="14">
        <v>3375.3779804044111</v>
      </c>
      <c r="I69" s="14">
        <v>3371.9928581789054</v>
      </c>
      <c r="J69" s="88">
        <v>3356.6034372894064</v>
      </c>
      <c r="K69" s="88">
        <f t="shared" si="55"/>
        <v>3074.6007662575444</v>
      </c>
      <c r="L69" s="14">
        <v>3396.8499931176325</v>
      </c>
      <c r="M69" s="14">
        <v>3375.4333393630768</v>
      </c>
      <c r="N69" s="14">
        <v>3395.7329651444697</v>
      </c>
      <c r="O69" s="14">
        <v>3400.7768175197061</v>
      </c>
      <c r="P69" s="23">
        <v>4</v>
      </c>
    </row>
    <row r="70" spans="1:16" x14ac:dyDescent="0.2">
      <c r="C70" t="s">
        <v>90</v>
      </c>
      <c r="D70" s="14">
        <v>604.62300000000005</v>
      </c>
      <c r="E70" s="14">
        <v>772.68600000000004</v>
      </c>
      <c r="F70" s="14">
        <v>825.85391370939408</v>
      </c>
      <c r="G70" s="14">
        <v>721.72625525389606</v>
      </c>
      <c r="H70" s="14">
        <v>719.0234558426007</v>
      </c>
      <c r="I70" s="14">
        <v>718.30235666640078</v>
      </c>
      <c r="J70" s="88">
        <v>715.0241002294556</v>
      </c>
      <c r="K70" s="88">
        <f t="shared" si="55"/>
        <v>654.95185461449796</v>
      </c>
      <c r="L70" s="14">
        <v>723.5974267799553</v>
      </c>
      <c r="M70" s="14">
        <v>719.03524841516662</v>
      </c>
      <c r="N70" s="14">
        <v>723.35947733601176</v>
      </c>
      <c r="O70" s="14">
        <v>724.43391942417395</v>
      </c>
      <c r="P70" s="23">
        <v>4</v>
      </c>
    </row>
    <row r="71" spans="1:16" x14ac:dyDescent="0.2">
      <c r="C71" t="s">
        <v>91</v>
      </c>
      <c r="D71" s="14">
        <v>2321.9850000000001</v>
      </c>
      <c r="E71" s="14">
        <v>2967.4119999999998</v>
      </c>
      <c r="F71" s="14">
        <v>3171.597277274624</v>
      </c>
      <c r="G71" s="14">
        <v>2771.7069424778942</v>
      </c>
      <c r="H71" s="14">
        <v>2761.3271511957032</v>
      </c>
      <c r="I71" s="14">
        <v>2758.5578524784423</v>
      </c>
      <c r="J71" s="88">
        <v>2745.9680844613326</v>
      </c>
      <c r="K71" s="88">
        <f t="shared" si="55"/>
        <v>2515.2675120363465</v>
      </c>
      <c r="L71" s="14">
        <v>2778.8929622071068</v>
      </c>
      <c r="M71" s="14">
        <v>2761.3724392187078</v>
      </c>
      <c r="N71" s="14">
        <v>2777.9791446468671</v>
      </c>
      <c r="O71" s="14">
        <v>2782.1054163092472</v>
      </c>
      <c r="P71" s="23">
        <v>4</v>
      </c>
    </row>
    <row r="72" spans="1:16" x14ac:dyDescent="0.2">
      <c r="C72" t="s">
        <v>92</v>
      </c>
      <c r="D72" s="14">
        <v>3739.99</v>
      </c>
      <c r="E72" s="14">
        <v>4779.57</v>
      </c>
      <c r="F72" s="14">
        <v>5108.4484387552102</v>
      </c>
      <c r="G72" s="14">
        <v>4464.3505354359522</v>
      </c>
      <c r="H72" s="14">
        <v>4447.6319473131634</v>
      </c>
      <c r="I72" s="14">
        <v>4443.171475673209</v>
      </c>
      <c r="J72" s="88">
        <v>4422.8933081920713</v>
      </c>
      <c r="K72" s="88">
        <f t="shared" si="55"/>
        <v>4051.3070455007801</v>
      </c>
      <c r="L72" s="14">
        <v>4475.9249593168133</v>
      </c>
      <c r="M72" s="14">
        <v>4447.7048921135856</v>
      </c>
      <c r="N72" s="14">
        <v>4474.453085847138</v>
      </c>
      <c r="O72" s="14">
        <v>4481.0992152856388</v>
      </c>
      <c r="P72" s="23">
        <v>4</v>
      </c>
    </row>
    <row r="73" spans="1:16" x14ac:dyDescent="0.2">
      <c r="C73" t="s">
        <v>93</v>
      </c>
      <c r="D73" s="14">
        <v>4830.71</v>
      </c>
      <c r="E73" s="14">
        <v>6420.5770000000002</v>
      </c>
      <c r="F73" s="14">
        <v>6862.3718350306854</v>
      </c>
      <c r="G73" s="14">
        <v>5997.1307811702227</v>
      </c>
      <c r="H73" s="14">
        <v>5974.6720699527596</v>
      </c>
      <c r="I73" s="14">
        <v>5968.6801498384721</v>
      </c>
      <c r="J73" s="88">
        <v>5941.4397211531432</v>
      </c>
      <c r="K73" s="88">
        <f t="shared" si="55"/>
        <v>5442.2738523089447</v>
      </c>
      <c r="L73" s="14">
        <v>6012.6791421645603</v>
      </c>
      <c r="M73" s="14">
        <v>5974.7700594597363</v>
      </c>
      <c r="N73" s="14">
        <v>6010.7019189109405</v>
      </c>
      <c r="O73" s="14">
        <v>6019.6299157415888</v>
      </c>
      <c r="P73" s="23">
        <v>4</v>
      </c>
    </row>
    <row r="74" spans="1:16" x14ac:dyDescent="0.2">
      <c r="C74" t="s">
        <v>94</v>
      </c>
      <c r="D74" s="14">
        <v>579.125</v>
      </c>
      <c r="E74" s="14">
        <v>740.101</v>
      </c>
      <c r="F74" s="14">
        <v>791.02676558166729</v>
      </c>
      <c r="G74" s="14">
        <v>691.29028252053706</v>
      </c>
      <c r="H74" s="14">
        <v>688.70146306852268</v>
      </c>
      <c r="I74" s="14">
        <v>688.01077342045778</v>
      </c>
      <c r="J74" s="88">
        <v>684.87076458473462</v>
      </c>
      <c r="K74" s="88">
        <f t="shared" si="55"/>
        <v>627.33183020275305</v>
      </c>
      <c r="L74" s="14">
        <v>693.08254473003478</v>
      </c>
      <c r="M74" s="14">
        <v>688.71275833561526</v>
      </c>
      <c r="N74" s="14">
        <v>692.85462987016672</v>
      </c>
      <c r="O74" s="14">
        <v>693.88376157941332</v>
      </c>
      <c r="P74" s="23">
        <v>4</v>
      </c>
    </row>
    <row r="75" spans="1:16" x14ac:dyDescent="0.2">
      <c r="C75" t="s">
        <v>95</v>
      </c>
      <c r="D75" s="14">
        <v>6060.2749999999996</v>
      </c>
      <c r="E75" s="14">
        <v>7744.6189999999997</v>
      </c>
      <c r="F75" s="14">
        <v>8277.520119865163</v>
      </c>
      <c r="G75" s="14">
        <v>7233.8503211371417</v>
      </c>
      <c r="H75" s="14">
        <v>7206.7602073342414</v>
      </c>
      <c r="I75" s="14">
        <v>7199.5326422160924</v>
      </c>
      <c r="J75" s="88">
        <v>7166.6747321615067</v>
      </c>
      <c r="K75" s="88">
        <f t="shared" si="55"/>
        <v>6564.5716077846346</v>
      </c>
      <c r="L75" s="14">
        <v>7252.6050423990473</v>
      </c>
      <c r="M75" s="14">
        <v>7206.8784040940554</v>
      </c>
      <c r="N75" s="14">
        <v>7250.2200790573997</v>
      </c>
      <c r="O75" s="14">
        <v>7260.9891943388729</v>
      </c>
      <c r="P75" s="23">
        <v>4</v>
      </c>
    </row>
    <row r="76" spans="1:16" x14ac:dyDescent="0.2">
      <c r="C76" t="s">
        <v>96</v>
      </c>
      <c r="D76" s="14">
        <v>1346.2080000000001</v>
      </c>
      <c r="E76" s="14">
        <v>1720.404</v>
      </c>
      <c r="F76" s="14">
        <v>1838.7836411702767</v>
      </c>
      <c r="G76" s="14">
        <v>1606.9409002412674</v>
      </c>
      <c r="H76" s="14">
        <v>1600.9230522171149</v>
      </c>
      <c r="I76" s="14">
        <v>1599.3175075234992</v>
      </c>
      <c r="J76" s="88">
        <v>1592.0183905637689</v>
      </c>
      <c r="K76" s="88">
        <f t="shared" si="55"/>
        <v>1458.2660880179021</v>
      </c>
      <c r="L76" s="14">
        <v>1611.1071087374978</v>
      </c>
      <c r="M76" s="14">
        <v>1600.9493086641228</v>
      </c>
      <c r="N76" s="14">
        <v>1610.5773085662015</v>
      </c>
      <c r="O76" s="14">
        <v>1612.9695797685304</v>
      </c>
      <c r="P76" s="23">
        <v>4</v>
      </c>
    </row>
    <row r="77" spans="1:16" x14ac:dyDescent="0.2">
      <c r="C77" t="s">
        <v>97</v>
      </c>
      <c r="D77" s="14">
        <v>9.6519999999999992</v>
      </c>
      <c r="E77" s="14">
        <v>12.335000000000001</v>
      </c>
      <c r="F77" s="14">
        <v>13.18376161287428</v>
      </c>
      <c r="G77" s="14">
        <v>11.521489141199412</v>
      </c>
      <c r="H77" s="14">
        <v>11.478342208631293</v>
      </c>
      <c r="I77" s="14">
        <v>11.466830730050829</v>
      </c>
      <c r="J77" s="88">
        <v>11.414497320166712</v>
      </c>
      <c r="K77" s="88">
        <f t="shared" si="55"/>
        <v>10.455516376212113</v>
      </c>
      <c r="L77" s="14">
        <v>11.551360137663616</v>
      </c>
      <c r="M77" s="14">
        <v>11.478530462828473</v>
      </c>
      <c r="N77" s="14">
        <v>11.547561561798332</v>
      </c>
      <c r="O77" s="14">
        <v>11.564713733776964</v>
      </c>
      <c r="P77" s="23">
        <v>4</v>
      </c>
    </row>
    <row r="78" spans="1:16" x14ac:dyDescent="0.2">
      <c r="B78" t="s">
        <v>98</v>
      </c>
      <c r="J78" s="82"/>
      <c r="K78" s="82"/>
      <c r="P78" s="23"/>
    </row>
    <row r="79" spans="1:16" x14ac:dyDescent="0.2">
      <c r="C79" t="s">
        <v>202</v>
      </c>
      <c r="E79" s="14">
        <v>9225.4549999999999</v>
      </c>
      <c r="F79" s="14">
        <v>7025.4006379294096</v>
      </c>
      <c r="G79" s="14">
        <v>14386.219825080954</v>
      </c>
      <c r="H79" s="14">
        <v>14332.344735750419</v>
      </c>
      <c r="I79" s="14">
        <v>14785.658393975253</v>
      </c>
      <c r="J79" s="88">
        <v>14718.17820355868</v>
      </c>
      <c r="K79" s="88">
        <f t="shared" ref="K79:K81" si="56">K$2*J79</f>
        <v>13481.640839622049</v>
      </c>
      <c r="L79" s="14">
        <v>15153.748623367024</v>
      </c>
      <c r="M79" s="14">
        <v>14815.033578907207</v>
      </c>
      <c r="N79" s="14">
        <v>14386.219825080954</v>
      </c>
      <c r="O79" s="14">
        <v>14440.168226642712</v>
      </c>
      <c r="P79" s="23" t="s">
        <v>203</v>
      </c>
    </row>
    <row r="80" spans="1:16" x14ac:dyDescent="0.2">
      <c r="C80" t="s">
        <v>99</v>
      </c>
      <c r="E80" s="14">
        <v>1147.3150000000001</v>
      </c>
      <c r="F80" s="14">
        <v>1271.8040786299712</v>
      </c>
      <c r="G80" s="14">
        <v>1071.6479379031375</v>
      </c>
      <c r="H80" s="14">
        <v>837.61740930376232</v>
      </c>
      <c r="I80" s="14">
        <v>1066.5639966800377</v>
      </c>
      <c r="J80" s="88">
        <v>1061.6963107326362</v>
      </c>
      <c r="K80" s="88">
        <f t="shared" si="56"/>
        <v>972.49864379195765</v>
      </c>
      <c r="L80" s="14">
        <v>1074.4263280375785</v>
      </c>
      <c r="M80" s="14">
        <v>1067.6522235881675</v>
      </c>
      <c r="N80" s="14">
        <v>1074.0730112099434</v>
      </c>
      <c r="O80" s="14">
        <v>1075.6683856885541</v>
      </c>
      <c r="P80" s="23">
        <v>4</v>
      </c>
    </row>
    <row r="81" spans="1:16" x14ac:dyDescent="0.2">
      <c r="C81" t="s">
        <v>100</v>
      </c>
      <c r="E81" s="14">
        <f>59.053+41.395+614.467</f>
        <v>714.91499999999996</v>
      </c>
      <c r="F81" s="14">
        <v>764.10773680324394</v>
      </c>
      <c r="G81" s="14">
        <v>667.76533517475286</v>
      </c>
      <c r="H81" s="14">
        <v>665.26461451833325</v>
      </c>
      <c r="I81" s="14">
        <v>664.59742937772899</v>
      </c>
      <c r="J81" s="88">
        <v>661.56427658264954</v>
      </c>
      <c r="K81" s="88">
        <f t="shared" si="56"/>
        <v>605.9834203566827</v>
      </c>
      <c r="L81" s="14">
        <v>669.49660582227671</v>
      </c>
      <c r="M81" s="14">
        <v>665.27552540194699</v>
      </c>
      <c r="N81" s="14">
        <v>669.27644701686688</v>
      </c>
      <c r="O81" s="14">
        <v>670.27055686932761</v>
      </c>
      <c r="P81" s="23">
        <v>4</v>
      </c>
    </row>
    <row r="82" spans="1:16" x14ac:dyDescent="0.2">
      <c r="B82" t="s">
        <v>101</v>
      </c>
      <c r="D82" s="14">
        <f t="shared" ref="D82:M82" si="57">SUM(D67:D81)</f>
        <v>37372.141000000003</v>
      </c>
      <c r="E82" s="14">
        <f t="shared" si="57"/>
        <v>67775.587999999989</v>
      </c>
      <c r="F82" s="14">
        <v>69649.865309928544</v>
      </c>
      <c r="G82" s="14">
        <f t="shared" ref="G82:H82" si="58">SUM(G67:G81)</f>
        <v>69074.887970624637</v>
      </c>
      <c r="H82" s="14">
        <f t="shared" si="58"/>
        <v>68586.191471667888</v>
      </c>
      <c r="I82" s="14">
        <f t="shared" si="57"/>
        <v>69214.881282744042</v>
      </c>
      <c r="J82" s="88">
        <f t="shared" si="57"/>
        <v>68898.991841491748</v>
      </c>
      <c r="K82" s="88">
        <f t="shared" ref="K82" si="59">SUM(K67:K81)</f>
        <v>63110.491622832204</v>
      </c>
      <c r="L82" s="14">
        <f t="shared" si="57"/>
        <v>69984.20443132025</v>
      </c>
      <c r="M82" s="14">
        <f t="shared" si="57"/>
        <v>69299.791198944382</v>
      </c>
      <c r="N82" s="14">
        <f t="shared" ref="N82" si="60">SUM(N67:N81)</f>
        <v>69198.645059696282</v>
      </c>
      <c r="O82" s="14">
        <f t="shared" ref="O82" si="61">SUM(O67:O81)</f>
        <v>69334.009103786419</v>
      </c>
      <c r="P82" s="23">
        <v>2</v>
      </c>
    </row>
    <row r="83" spans="1:16" x14ac:dyDescent="0.2">
      <c r="A83" s="18"/>
      <c r="B83" s="12" t="s">
        <v>102</v>
      </c>
      <c r="C83" s="18"/>
      <c r="D83" s="17">
        <f t="shared" ref="D83:M83" si="62">D82*1000/(D30*D41*365*24)*100</f>
        <v>0.77225104836472036</v>
      </c>
      <c r="E83" s="17">
        <f t="shared" si="62"/>
        <v>1.4003509666717904</v>
      </c>
      <c r="F83" s="17">
        <v>1.4386577207861517</v>
      </c>
      <c r="G83" s="17">
        <f t="shared" ref="G83:H83" si="63">G82*1000/(G30*G41*365*24)*100</f>
        <v>1.427594929425225</v>
      </c>
      <c r="H83" s="17">
        <f t="shared" si="63"/>
        <v>1.4175158510923926</v>
      </c>
      <c r="I83" s="17">
        <f t="shared" si="62"/>
        <v>1.4327198869596696</v>
      </c>
      <c r="J83" s="90">
        <f t="shared" si="62"/>
        <v>1.4262067512216738</v>
      </c>
      <c r="K83" s="90">
        <f t="shared" ref="K83" si="64">K82*1000/(K30*K41*365*24)*100</f>
        <v>1.5570185683857425</v>
      </c>
      <c r="L83" s="17">
        <f t="shared" si="62"/>
        <v>1.448602496343584</v>
      </c>
      <c r="M83" s="17">
        <f t="shared" si="62"/>
        <v>1.4344717298388185</v>
      </c>
      <c r="N83" s="17">
        <f t="shared" ref="N83" si="65">N82*1000/(N30*N41*365*24)*100</f>
        <v>1.4323440786306567</v>
      </c>
      <c r="O83" s="17">
        <f t="shared" ref="O83" si="66">O82*1000/(O30*O41*365*24)*100</f>
        <v>1.4351375233638475</v>
      </c>
      <c r="P83" s="24">
        <v>2</v>
      </c>
    </row>
    <row r="84" spans="1:16" x14ac:dyDescent="0.2">
      <c r="A84" s="12" t="s">
        <v>103</v>
      </c>
      <c r="B84" s="18"/>
      <c r="C84" s="18"/>
      <c r="D84" s="18"/>
      <c r="E84" s="18"/>
      <c r="F84" s="18"/>
      <c r="G84" s="18"/>
      <c r="H84" s="18"/>
      <c r="I84" s="18"/>
      <c r="J84" s="91"/>
      <c r="K84" s="91"/>
      <c r="L84" s="18"/>
      <c r="M84" s="18"/>
      <c r="N84" s="18"/>
      <c r="O84" s="18"/>
      <c r="P84" s="18"/>
    </row>
    <row r="85" spans="1:16" x14ac:dyDescent="0.2">
      <c r="C85" t="s">
        <v>104</v>
      </c>
      <c r="D85" s="14">
        <v>6138.1319999999996</v>
      </c>
      <c r="E85" s="14">
        <v>7161.0079999999998</v>
      </c>
      <c r="F85" s="14">
        <v>7653.7513076518535</v>
      </c>
      <c r="G85" s="14">
        <v>6688.7292997196682</v>
      </c>
      <c r="H85" s="14">
        <v>6663.6806147341995</v>
      </c>
      <c r="I85" s="14">
        <v>6656.9976970036323</v>
      </c>
      <c r="J85" s="88">
        <v>6626.6158593994624</v>
      </c>
      <c r="K85" s="88">
        <f t="shared" ref="K85:K88" si="67">K$2*J85</f>
        <v>6069.885400420425</v>
      </c>
      <c r="L85" s="14">
        <v>6706.0707220664981</v>
      </c>
      <c r="M85" s="14">
        <v>6663.7899045446602</v>
      </c>
      <c r="N85" s="14">
        <v>6703.8654823291727</v>
      </c>
      <c r="O85" s="14">
        <v>6713.8230697435501</v>
      </c>
      <c r="P85" s="23">
        <v>4</v>
      </c>
    </row>
    <row r="86" spans="1:16" x14ac:dyDescent="0.2">
      <c r="C86" t="s">
        <v>105</v>
      </c>
      <c r="D86" s="14">
        <v>8729.8089999999993</v>
      </c>
      <c r="E86" s="14">
        <v>15797.59</v>
      </c>
      <c r="F86" s="14">
        <v>16884.609697440341</v>
      </c>
      <c r="G86" s="14">
        <v>14755.716387687104</v>
      </c>
      <c r="H86" s="14">
        <v>14700.457567219428</v>
      </c>
      <c r="I86" s="14">
        <v>14685.714671483069</v>
      </c>
      <c r="J86" s="88">
        <v>14618.690613708344</v>
      </c>
      <c r="K86" s="88">
        <f t="shared" si="67"/>
        <v>13390.511629483964</v>
      </c>
      <c r="L86" s="14">
        <v>14793.972549424676</v>
      </c>
      <c r="M86" s="14">
        <v>14700.698666742963</v>
      </c>
      <c r="N86" s="14">
        <v>14789.107665427622</v>
      </c>
      <c r="O86" s="14">
        <v>14811.074668307872</v>
      </c>
      <c r="P86" s="23">
        <v>4</v>
      </c>
    </row>
    <row r="87" spans="1:16" x14ac:dyDescent="0.2">
      <c r="C87" t="s">
        <v>106</v>
      </c>
      <c r="D87" s="14">
        <v>3716.9850000000001</v>
      </c>
      <c r="E87" s="14">
        <v>5739.6490000000003</v>
      </c>
      <c r="F87" s="14">
        <v>6134.5897168684432</v>
      </c>
      <c r="G87" s="14">
        <v>5361.1109548274071</v>
      </c>
      <c r="H87" s="14">
        <v>5341.034080213085</v>
      </c>
      <c r="I87" s="14">
        <v>5335.6776273129717</v>
      </c>
      <c r="J87" s="88">
        <v>5311.3261555895861</v>
      </c>
      <c r="K87" s="88">
        <f t="shared" si="67"/>
        <v>4865.0988336610844</v>
      </c>
      <c r="L87" s="14">
        <v>5375.0103496376851</v>
      </c>
      <c r="M87" s="14">
        <v>5341.121677538953</v>
      </c>
      <c r="N87" s="14">
        <v>5373.2428188580652</v>
      </c>
      <c r="O87" s="14">
        <v>5381.223965736458</v>
      </c>
      <c r="P87" s="23">
        <v>4</v>
      </c>
    </row>
    <row r="88" spans="1:16" x14ac:dyDescent="0.2">
      <c r="C88" t="s">
        <v>107</v>
      </c>
      <c r="D88" s="14">
        <v>27280.653999999999</v>
      </c>
      <c r="E88" s="14">
        <v>49367.468000000001</v>
      </c>
      <c r="F88" s="14">
        <v>52764.404502894155</v>
      </c>
      <c r="G88" s="14">
        <v>46111.613010985762</v>
      </c>
      <c r="H88" s="14">
        <v>45938.929199647726</v>
      </c>
      <c r="I88" s="14">
        <v>45892.857651171529</v>
      </c>
      <c r="J88" s="88">
        <v>45683.407473807521</v>
      </c>
      <c r="K88" s="88">
        <f t="shared" si="67"/>
        <v>41845.348206414863</v>
      </c>
      <c r="L88" s="14">
        <v>46231.163514599444</v>
      </c>
      <c r="M88" s="14">
        <v>45939.682635647325</v>
      </c>
      <c r="N88" s="14">
        <v>46215.960752339612</v>
      </c>
      <c r="O88" s="14">
        <v>46284.6076352975</v>
      </c>
      <c r="P88" s="23">
        <v>4</v>
      </c>
    </row>
    <row r="89" spans="1:16" x14ac:dyDescent="0.2">
      <c r="B89" t="s">
        <v>108</v>
      </c>
      <c r="D89" s="14">
        <f>SUM(D85:D88)</f>
        <v>45865.58</v>
      </c>
      <c r="E89" s="14">
        <f t="shared" ref="E89:L89" si="68">SUM(E85:E88)</f>
        <v>78065.714999999997</v>
      </c>
      <c r="F89" s="14">
        <v>83437.355224854793</v>
      </c>
      <c r="G89" s="14">
        <f t="shared" ref="G89:H89" si="69">SUM(G85:G88)</f>
        <v>72917.169653219942</v>
      </c>
      <c r="H89" s="14">
        <f t="shared" si="69"/>
        <v>72644.10146181444</v>
      </c>
      <c r="I89" s="14">
        <f t="shared" si="68"/>
        <v>72571.247646971198</v>
      </c>
      <c r="J89" s="88">
        <f t="shared" si="68"/>
        <v>72240.040102504921</v>
      </c>
      <c r="K89" s="88">
        <f t="shared" ref="K89" si="70">SUM(K85:K88)</f>
        <v>66170.844069980347</v>
      </c>
      <c r="L89" s="14">
        <f t="shared" si="68"/>
        <v>73106.217135728308</v>
      </c>
      <c r="M89" s="14">
        <f t="shared" ref="M89:O89" si="71">SUM(M85:M88)</f>
        <v>72645.292884473893</v>
      </c>
      <c r="N89" s="14">
        <f t="shared" si="71"/>
        <v>73082.176718954463</v>
      </c>
      <c r="O89" s="14">
        <f t="shared" si="71"/>
        <v>73190.729339085374</v>
      </c>
      <c r="P89" s="23">
        <v>2</v>
      </c>
    </row>
    <row r="90" spans="1:16" x14ac:dyDescent="0.2">
      <c r="A90" s="18"/>
      <c r="B90" s="12" t="s">
        <v>109</v>
      </c>
      <c r="C90" s="18"/>
      <c r="D90" s="17">
        <f t="shared" ref="D90:M90" si="72">D89*1000/(D30*D41*365*24)*100</f>
        <v>0.94775790979853003</v>
      </c>
      <c r="E90" s="17">
        <f t="shared" si="72"/>
        <v>1.6129612842927237</v>
      </c>
      <c r="F90" s="17">
        <v>1.7234461942183084</v>
      </c>
      <c r="G90" s="17">
        <f t="shared" ref="G90:H90" si="73">G89*1000/(G30*G41*365*24)*100</f>
        <v>1.5070047121791135</v>
      </c>
      <c r="H90" s="17">
        <f t="shared" si="73"/>
        <v>1.5013833411791553</v>
      </c>
      <c r="I90" s="17">
        <f t="shared" si="72"/>
        <v>1.5021953053788244</v>
      </c>
      <c r="J90" s="90">
        <f t="shared" si="72"/>
        <v>1.4953663348187283</v>
      </c>
      <c r="K90" s="90">
        <f t="shared" ref="K90" si="74">K89*1000/(K30*K41*365*24)*100</f>
        <v>1.6325214754854316</v>
      </c>
      <c r="L90" s="17">
        <f t="shared" si="72"/>
        <v>1.513225012723836</v>
      </c>
      <c r="M90" s="17">
        <f t="shared" si="72"/>
        <v>1.5037219758639944</v>
      </c>
      <c r="N90" s="17">
        <f t="shared" ref="N90" si="75">N89*1000/(N30*N41*365*24)*100</f>
        <v>1.5127293747808115</v>
      </c>
      <c r="O90" s="17">
        <f t="shared" ref="O90" si="76">O89*1000/(O30*O41*365*24)*100</f>
        <v>1.5149673788465863</v>
      </c>
      <c r="P90" s="24">
        <v>2</v>
      </c>
    </row>
    <row r="91" spans="1:16" ht="14.25" customHeight="1" x14ac:dyDescent="0.2">
      <c r="A91" s="5" t="s">
        <v>110</v>
      </c>
      <c r="B91" s="6"/>
      <c r="C91" s="6"/>
      <c r="D91" s="6"/>
      <c r="E91" s="6"/>
      <c r="F91" s="6"/>
      <c r="G91" s="6"/>
      <c r="H91" s="6"/>
      <c r="I91" s="6"/>
      <c r="J91" s="80"/>
      <c r="K91" s="80"/>
      <c r="L91" s="6"/>
      <c r="M91" s="6"/>
      <c r="N91" s="6"/>
      <c r="O91" s="6"/>
      <c r="P91" s="25"/>
    </row>
    <row r="92" spans="1:16" x14ac:dyDescent="0.2">
      <c r="B92" t="s">
        <v>111</v>
      </c>
      <c r="D92" s="19">
        <f t="shared" ref="D92:M92" si="77">D42</f>
        <v>1.8890744872906466</v>
      </c>
      <c r="E92" s="19">
        <f t="shared" si="77"/>
        <v>2.4139071752665346</v>
      </c>
      <c r="F92" s="19">
        <v>2.5792554197812767</v>
      </c>
      <c r="G92" s="19">
        <f t="shared" ref="G92:H92" si="78">G42</f>
        <v>2.2553358988308183</v>
      </c>
      <c r="H92" s="19">
        <f t="shared" si="78"/>
        <v>2.2469231316281735</v>
      </c>
      <c r="I92" s="19">
        <f t="shared" si="77"/>
        <v>2.2481382917356902</v>
      </c>
      <c r="J92" s="92">
        <f t="shared" si="77"/>
        <v>2.2379182689767867</v>
      </c>
      <c r="K92" s="92">
        <f t="shared" ref="K92" si="79">K42</f>
        <v>2.2379182689767867</v>
      </c>
      <c r="L92" s="19">
        <f t="shared" si="77"/>
        <v>2.2646444714612368</v>
      </c>
      <c r="M92" s="19">
        <f t="shared" si="77"/>
        <v>2.2504188323721053</v>
      </c>
      <c r="N92" s="19">
        <f t="shared" ref="N92:O92" si="80">N42</f>
        <v>2.2639050474827376</v>
      </c>
      <c r="O92" s="19">
        <f t="shared" si="80"/>
        <v>2.2672500701556202</v>
      </c>
      <c r="P92" s="23">
        <v>2</v>
      </c>
    </row>
    <row r="93" spans="1:16" x14ac:dyDescent="0.2">
      <c r="B93" t="s">
        <v>112</v>
      </c>
      <c r="D93" s="19">
        <f t="shared" ref="D93:M93" si="81">D64</f>
        <v>2.8295890410958906</v>
      </c>
      <c r="E93" s="19">
        <f t="shared" si="81"/>
        <v>5.1002739726027402</v>
      </c>
      <c r="F93" s="19">
        <v>5.6231358205275788</v>
      </c>
      <c r="G93" s="19">
        <f t="shared" ref="G93:H93" si="82">G64</f>
        <v>4.6689115726928323</v>
      </c>
      <c r="H93" s="19">
        <f t="shared" si="82"/>
        <v>4.6046797594071442</v>
      </c>
      <c r="I93" s="19">
        <f t="shared" si="81"/>
        <v>4.6193588805121255</v>
      </c>
      <c r="J93" s="92">
        <f t="shared" si="81"/>
        <v>4.5616763592877527</v>
      </c>
      <c r="K93" s="92">
        <f t="shared" ref="K93" si="83">K64</f>
        <v>4.5616763592877518</v>
      </c>
      <c r="L93" s="19">
        <f t="shared" si="81"/>
        <v>4.7150621740729441</v>
      </c>
      <c r="M93" s="19">
        <f t="shared" si="81"/>
        <v>4.654513198140128</v>
      </c>
      <c r="N93" s="19">
        <f t="shared" ref="N93:O93" si="84">N64</f>
        <v>4.7969700980868719</v>
      </c>
      <c r="O93" s="19">
        <f t="shared" si="84"/>
        <v>4.7703969598527767</v>
      </c>
      <c r="P93" s="23">
        <v>2</v>
      </c>
    </row>
    <row r="94" spans="1:16" x14ac:dyDescent="0.2">
      <c r="B94" t="s">
        <v>113</v>
      </c>
      <c r="D94" s="19">
        <f>D83</f>
        <v>0.77225104836472036</v>
      </c>
      <c r="E94" s="19">
        <f t="shared" ref="E94:I94" si="85">E83</f>
        <v>1.4003509666717904</v>
      </c>
      <c r="F94" s="19">
        <v>1.4386577207861517</v>
      </c>
      <c r="G94" s="19">
        <f t="shared" ref="G94:H94" si="86">G83</f>
        <v>1.427594929425225</v>
      </c>
      <c r="H94" s="19">
        <f t="shared" si="86"/>
        <v>1.4175158510923926</v>
      </c>
      <c r="I94" s="19">
        <f t="shared" si="85"/>
        <v>1.4327198869596696</v>
      </c>
      <c r="J94" s="92">
        <f t="shared" ref="J94:K94" si="87">J83</f>
        <v>1.4262067512216738</v>
      </c>
      <c r="K94" s="92">
        <f t="shared" si="87"/>
        <v>1.5570185683857425</v>
      </c>
      <c r="L94" s="19">
        <f>L83</f>
        <v>1.448602496343584</v>
      </c>
      <c r="M94" s="19">
        <f>M83</f>
        <v>1.4344717298388185</v>
      </c>
      <c r="N94" s="19">
        <f t="shared" ref="N94:O94" si="88">N83</f>
        <v>1.4323440786306567</v>
      </c>
      <c r="O94" s="19">
        <f t="shared" si="88"/>
        <v>1.4351375233638475</v>
      </c>
      <c r="P94" s="23">
        <v>2</v>
      </c>
    </row>
    <row r="95" spans="1:16" x14ac:dyDescent="0.2">
      <c r="B95" t="s">
        <v>114</v>
      </c>
      <c r="D95" s="19">
        <f>D90</f>
        <v>0.94775790979853003</v>
      </c>
      <c r="E95" s="19">
        <f t="shared" ref="E95:I95" si="89">E90</f>
        <v>1.6129612842927237</v>
      </c>
      <c r="F95" s="19">
        <v>1.7234461942183084</v>
      </c>
      <c r="G95" s="19">
        <f t="shared" ref="G95:H95" si="90">G90</f>
        <v>1.5070047121791135</v>
      </c>
      <c r="H95" s="19">
        <f t="shared" si="90"/>
        <v>1.5013833411791553</v>
      </c>
      <c r="I95" s="19">
        <f t="shared" si="89"/>
        <v>1.5021953053788244</v>
      </c>
      <c r="J95" s="92">
        <f t="shared" ref="J95:K95" si="91">J90</f>
        <v>1.4953663348187283</v>
      </c>
      <c r="K95" s="92">
        <f t="shared" si="91"/>
        <v>1.6325214754854316</v>
      </c>
      <c r="L95" s="19">
        <f>L90</f>
        <v>1.513225012723836</v>
      </c>
      <c r="M95" s="19">
        <f>M90</f>
        <v>1.5037219758639944</v>
      </c>
      <c r="N95" s="19">
        <f t="shared" ref="N95:O95" si="92">N90</f>
        <v>1.5127293747808115</v>
      </c>
      <c r="O95" s="19">
        <f t="shared" si="92"/>
        <v>1.5149673788465863</v>
      </c>
      <c r="P95" s="23">
        <v>2</v>
      </c>
    </row>
    <row r="96" spans="1:16" x14ac:dyDescent="0.2">
      <c r="B96" t="s">
        <v>115</v>
      </c>
      <c r="D96" s="19">
        <v>0</v>
      </c>
      <c r="E96" s="19">
        <v>0.89</v>
      </c>
      <c r="F96" s="19">
        <v>0.94077861169635979</v>
      </c>
      <c r="G96" s="19">
        <f t="shared" ref="G96:H96" si="93">$E$96*G36*G38/$E$36/$E$38</f>
        <v>0.82216069109953716</v>
      </c>
      <c r="H96" s="19">
        <f t="shared" si="93"/>
        <v>0.81908177382901015</v>
      </c>
      <c r="I96" s="19">
        <f>$E$96*I36*I38/$E$36/$E$38</f>
        <v>0.81826032748042565</v>
      </c>
      <c r="J96" s="92">
        <f>$E$96*J36*J38/$E$36/$E$38</f>
        <v>0.81452587337378923</v>
      </c>
      <c r="K96" s="92">
        <f>$E$96*K36*K38/$E$36/$E$38</f>
        <v>0.74609405644713422</v>
      </c>
      <c r="L96" s="19">
        <f>$E$96*L36*L38/$E$36/$E$38</f>
        <v>0.82429205802780248</v>
      </c>
      <c r="M96" s="19">
        <f>$E$96*M36*M38/$E$36/$E$38</f>
        <v>0.81909366912592407</v>
      </c>
      <c r="N96" s="19">
        <f t="shared" ref="N96:O96" si="94">$E$96*N36*N38/$E$36/$E$38</f>
        <v>0.82402184474329898</v>
      </c>
      <c r="O96" s="19">
        <f t="shared" si="94"/>
        <v>0.82524423817319614</v>
      </c>
      <c r="P96" s="23">
        <v>5</v>
      </c>
    </row>
    <row r="97" spans="1:16" x14ac:dyDescent="0.2">
      <c r="C97" t="s">
        <v>116</v>
      </c>
      <c r="D97" s="19">
        <f>SUM(D92:D96)</f>
        <v>6.4386724865497875</v>
      </c>
      <c r="E97" s="19">
        <f t="shared" ref="E97:J97" si="95">SUM(E92:E96)</f>
        <v>11.417493398833789</v>
      </c>
      <c r="F97" s="19">
        <v>12.305273767009675</v>
      </c>
      <c r="G97" s="19">
        <f t="shared" ref="G97:H97" si="96">SUM(G92:G96)</f>
        <v>10.681007804227526</v>
      </c>
      <c r="H97" s="19">
        <f t="shared" si="96"/>
        <v>10.589583857135876</v>
      </c>
      <c r="I97" s="19">
        <f t="shared" si="95"/>
        <v>10.620672692066735</v>
      </c>
      <c r="J97" s="92">
        <f t="shared" si="95"/>
        <v>10.535693587678731</v>
      </c>
      <c r="K97" s="92">
        <f t="shared" ref="K97" si="97">SUM(K92:K96)</f>
        <v>10.735228728582847</v>
      </c>
      <c r="L97" s="19">
        <f t="shared" ref="L97:M97" si="98">SUM(L92:L96)</f>
        <v>10.765826212629404</v>
      </c>
      <c r="M97" s="19">
        <f t="shared" si="98"/>
        <v>10.66221940534097</v>
      </c>
      <c r="N97" s="19">
        <f t="shared" ref="N97:O97" si="99">SUM(N92:N96)</f>
        <v>10.829970443724376</v>
      </c>
      <c r="O97" s="19">
        <f t="shared" si="99"/>
        <v>10.812996170392028</v>
      </c>
      <c r="P97" s="23">
        <v>2</v>
      </c>
    </row>
    <row r="98" spans="1:16" x14ac:dyDescent="0.2">
      <c r="C98" t="s">
        <v>117</v>
      </c>
      <c r="E98" s="10">
        <f>(E97-$D97)/$D97</f>
        <v>0.77326823544521395</v>
      </c>
      <c r="F98" s="10">
        <v>0.91115075238180832</v>
      </c>
      <c r="G98" s="10">
        <f t="shared" ref="G98:H98" si="100">(G97-$D97)/$D97</f>
        <v>0.65888353950909329</v>
      </c>
      <c r="H98" s="10">
        <f t="shared" si="100"/>
        <v>0.64468434747336978</v>
      </c>
      <c r="I98" s="10">
        <f>(I97-$D97)/$D97</f>
        <v>0.64951280162999947</v>
      </c>
      <c r="J98" s="85">
        <f>(J97-$D97)/$D97</f>
        <v>0.63631456790006158</v>
      </c>
      <c r="K98" s="85">
        <f>(K97-$D97)/$D97</f>
        <v>0.66730467359668455</v>
      </c>
      <c r="L98" s="10">
        <f>(L97-$D97)/$D97</f>
        <v>0.67205681530143424</v>
      </c>
      <c r="M98" s="10">
        <f>(M97-$D97)/$D97</f>
        <v>0.65596548475078642</v>
      </c>
      <c r="N98" s="10">
        <f t="shared" ref="N98:O98" si="101">(N97-$D97)/$D97</f>
        <v>0.68201915322574502</v>
      </c>
      <c r="O98" s="10">
        <f t="shared" si="101"/>
        <v>0.67938285306172719</v>
      </c>
      <c r="P98" s="23">
        <v>2</v>
      </c>
    </row>
    <row r="99" spans="1:16" x14ac:dyDescent="0.2">
      <c r="B99" t="s">
        <v>118</v>
      </c>
      <c r="D99" s="20">
        <f t="shared" ref="D99:M99" si="102">0.907185*D37/2000</f>
        <v>0.77754719530826477</v>
      </c>
      <c r="E99" s="20">
        <f t="shared" si="102"/>
        <v>9.9356816235417728E-2</v>
      </c>
      <c r="F99" s="20">
        <v>0.10499501832392213</v>
      </c>
      <c r="G99" s="20">
        <f t="shared" ref="G99:H99" si="103">0.907185*G37/2000</f>
        <v>9.180906714714665E-2</v>
      </c>
      <c r="H99" s="20">
        <f t="shared" si="103"/>
        <v>9.146660449694835E-2</v>
      </c>
      <c r="I99" s="20">
        <f t="shared" si="102"/>
        <v>9.1516070616812523E-2</v>
      </c>
      <c r="J99" s="93">
        <f t="shared" si="102"/>
        <v>9.1100039126246618E-2</v>
      </c>
      <c r="K99" s="93">
        <f t="shared" ref="K99" si="104">0.907185*K37/2000</f>
        <v>9.1100039126246618E-2</v>
      </c>
      <c r="L99" s="20">
        <f t="shared" si="102"/>
        <v>9.2187995789267452E-2</v>
      </c>
      <c r="M99" s="20">
        <f t="shared" si="102"/>
        <v>9.1608905705603066E-2</v>
      </c>
      <c r="N99" s="20">
        <f t="shared" ref="N99:O99" si="105">0.907185*N37/2000</f>
        <v>9.2157895693877029E-2</v>
      </c>
      <c r="O99" s="20">
        <f t="shared" si="105"/>
        <v>9.2294063176220797E-2</v>
      </c>
      <c r="P99" s="23">
        <v>2</v>
      </c>
    </row>
    <row r="100" spans="1:16" x14ac:dyDescent="0.2">
      <c r="A100" s="1"/>
      <c r="B100" s="1" t="s">
        <v>119</v>
      </c>
      <c r="C100" s="1"/>
      <c r="D100" s="21"/>
      <c r="E100" s="29">
        <f>(E97-E96-$D$97)/(E36*E38/E30)*10</f>
        <v>45.725492493339303</v>
      </c>
      <c r="F100" s="29">
        <v>52.12763823561432</v>
      </c>
      <c r="G100" s="29">
        <f t="shared" ref="G100:H100" si="106">(G97-G96-$D$97)/(G36*G38/G30)*10</f>
        <v>41.392406399695354</v>
      </c>
      <c r="H100" s="29">
        <f t="shared" si="106"/>
        <v>40.474192591299321</v>
      </c>
      <c r="I100" s="29">
        <f>(I97-I96-$D$97)/(I36*I38/I30)*10</f>
        <v>40.83974375279594</v>
      </c>
      <c r="J100" s="94">
        <f>(J97-J96-$D$97)/(J36*J38/J30)*10</f>
        <v>40.035338898651467</v>
      </c>
      <c r="K100" s="94">
        <f>(K97-K96-$D$97)/(K36*K38/K30)*10</f>
        <v>43.303629399025596</v>
      </c>
      <c r="L100" s="29">
        <f>(L97-L96-$D$97)/(L36*L38/L30)*10</f>
        <v>42.218867836427563</v>
      </c>
      <c r="M100" s="29">
        <f>(M97-M96-$D$97)/(M36*M38/M30)*10</f>
        <v>41.292164485214542</v>
      </c>
      <c r="N100" s="29">
        <f t="shared" ref="N100:O100" si="107">(N97-N96-$D$97)/(N36*N38/N30)*10</f>
        <v>43.00927733049253</v>
      </c>
      <c r="O100" s="29">
        <f t="shared" si="107"/>
        <v>42.726756385742597</v>
      </c>
      <c r="P100" s="23">
        <v>2</v>
      </c>
    </row>
    <row r="101" spans="1:16" x14ac:dyDescent="0.2">
      <c r="A101" s="5"/>
      <c r="B101" s="5" t="s">
        <v>120</v>
      </c>
      <c r="C101" s="5"/>
      <c r="D101" s="5"/>
      <c r="E101" s="30">
        <f>(E97-$D$97)/($D$99-E99)*10</f>
        <v>73.413322658610099</v>
      </c>
      <c r="F101" s="30">
        <v>87.228938976380178</v>
      </c>
      <c r="G101" s="30">
        <f t="shared" ref="G101:H101" si="108">(G97-$D$97)/($D$99-G99)*10</f>
        <v>61.865238980571569</v>
      </c>
      <c r="H101" s="30">
        <f t="shared" si="108"/>
        <v>60.501804397023939</v>
      </c>
      <c r="I101" s="30">
        <f>(I97-$D$97)/($D$99-I99)*10</f>
        <v>60.959336318710541</v>
      </c>
      <c r="J101" s="95">
        <f>(J97-$D$97)/($D$99-J99)*10</f>
        <v>59.684435491237991</v>
      </c>
      <c r="K101" s="95">
        <f>(K97-$D$97)/($D$99-K99)*10</f>
        <v>62.591216284298881</v>
      </c>
      <c r="L101" s="30">
        <f>(L97-$D$97)/($D$99-L99)*10</f>
        <v>63.13701966963491</v>
      </c>
      <c r="M101" s="30">
        <f>(M97-$D$97)/($D$99-M99)*10</f>
        <v>61.573278278979366</v>
      </c>
      <c r="N101" s="30">
        <f t="shared" ref="N101:O101" si="109">(N97-$D$97)/($D$99-N99)*10</f>
        <v>64.070127147377576</v>
      </c>
      <c r="O101" s="30">
        <f t="shared" si="109"/>
        <v>63.835150526525943</v>
      </c>
      <c r="P101" s="26">
        <v>2</v>
      </c>
    </row>
    <row r="103" spans="1:16" x14ac:dyDescent="0.2">
      <c r="A103" s="22">
        <v>1</v>
      </c>
      <c r="B103" t="s">
        <v>121</v>
      </c>
    </row>
    <row r="104" spans="1:16" x14ac:dyDescent="0.2">
      <c r="A104" s="22">
        <v>2</v>
      </c>
      <c r="B104" t="s">
        <v>122</v>
      </c>
    </row>
    <row r="105" spans="1:16" x14ac:dyDescent="0.2">
      <c r="A105" s="22">
        <v>3</v>
      </c>
      <c r="B105" t="s">
        <v>123</v>
      </c>
    </row>
    <row r="106" spans="1:16" x14ac:dyDescent="0.2">
      <c r="A106" s="22">
        <v>4</v>
      </c>
      <c r="B106" t="s">
        <v>124</v>
      </c>
    </row>
    <row r="107" spans="1:16" x14ac:dyDescent="0.2">
      <c r="A107" s="22">
        <v>5</v>
      </c>
      <c r="B107" t="s">
        <v>125</v>
      </c>
    </row>
    <row r="108" spans="1:16" x14ac:dyDescent="0.2">
      <c r="A108" s="22">
        <v>6</v>
      </c>
      <c r="B108" t="s">
        <v>204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6678-CFA5-49B2-A114-63302D78C13F}">
  <dimension ref="B2:AF107"/>
  <sheetViews>
    <sheetView zoomScale="340" zoomScaleNormal="340" workbookViewId="0">
      <pane xSplit="3" topLeftCell="D1" activePane="topRight" state="frozen"/>
      <selection pane="topRight" activeCell="B2" sqref="B2"/>
    </sheetView>
  </sheetViews>
  <sheetFormatPr baseColWidth="10" defaultColWidth="8.83203125" defaultRowHeight="15" x14ac:dyDescent="0.2"/>
  <cols>
    <col min="2" max="2" width="3.5" customWidth="1"/>
    <col min="3" max="3" width="32.1640625" customWidth="1"/>
    <col min="4" max="4" width="10.83203125" customWidth="1"/>
    <col min="5" max="5" width="12.1640625" customWidth="1"/>
    <col min="6" max="6" width="10.83203125" customWidth="1"/>
    <col min="7" max="7" width="12.6640625" customWidth="1"/>
    <col min="8" max="8" width="12.5" customWidth="1"/>
    <col min="9" max="9" width="12.83203125" customWidth="1"/>
    <col min="10" max="10" width="12.5" customWidth="1"/>
    <col min="11" max="32" width="10.83203125" customWidth="1"/>
  </cols>
  <sheetData>
    <row r="2" spans="2:2" x14ac:dyDescent="0.2">
      <c r="B2" s="1" t="s">
        <v>285</v>
      </c>
    </row>
    <row r="22" spans="2:32" x14ac:dyDescent="0.2">
      <c r="B22" s="1" t="s">
        <v>0</v>
      </c>
      <c r="D22" t="s">
        <v>16</v>
      </c>
      <c r="M22" t="s">
        <v>17</v>
      </c>
      <c r="O22">
        <v>0.93100000000000005</v>
      </c>
    </row>
    <row r="24" spans="2:32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</row>
    <row r="25" spans="2:32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57"/>
      <c r="O25" s="57"/>
      <c r="P25" s="57"/>
      <c r="Q25" s="57"/>
      <c r="R25" s="57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2:32" x14ac:dyDescent="0.2">
      <c r="C26" s="3" t="s">
        <v>2</v>
      </c>
      <c r="D26" s="3">
        <v>8.0999999999999996E-3</v>
      </c>
      <c r="E26" s="3"/>
      <c r="F26" s="3"/>
      <c r="G26" s="3">
        <v>9.4000000000000004E-3</v>
      </c>
      <c r="H26" s="3">
        <f>G26</f>
        <v>9.4000000000000004E-3</v>
      </c>
      <c r="I26" s="3">
        <v>1.0699999999999999E-2</v>
      </c>
      <c r="J26" s="33"/>
      <c r="K26" s="3"/>
      <c r="L26" s="3"/>
      <c r="M26" s="3"/>
      <c r="N26" s="57"/>
      <c r="O26" s="57"/>
      <c r="P26" s="57"/>
      <c r="Q26" s="57"/>
      <c r="R26" s="57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2:32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0.14480000000000001</v>
      </c>
      <c r="H27" s="3">
        <f>G27</f>
        <v>0.14480000000000001</v>
      </c>
      <c r="I27" s="3">
        <v>1.6500000000000001E-2</v>
      </c>
      <c r="J27" s="33">
        <v>4.9799999999999997E-2</v>
      </c>
      <c r="K27" s="3">
        <v>0.16309999999999999</v>
      </c>
      <c r="L27" s="3"/>
      <c r="M27" s="3">
        <f>K27</f>
        <v>0.16309999999999999</v>
      </c>
      <c r="N27" s="57">
        <f>M27</f>
        <v>0.16309999999999999</v>
      </c>
      <c r="O27" s="57">
        <v>4.9200000000000001E-2</v>
      </c>
      <c r="P27" s="58">
        <f>J27</f>
        <v>4.9799999999999997E-2</v>
      </c>
      <c r="Q27" s="57">
        <f>N27</f>
        <v>0.16309999999999999</v>
      </c>
      <c r="R27" s="57">
        <f>N27</f>
        <v>0.16309999999999999</v>
      </c>
      <c r="S27" s="33">
        <v>0.92</v>
      </c>
      <c r="T27" s="3">
        <v>0.1007</v>
      </c>
      <c r="U27" s="3">
        <f>T27</f>
        <v>0.1007</v>
      </c>
      <c r="V27" s="3">
        <v>0.98419999999999996</v>
      </c>
      <c r="W27" s="3">
        <f>O27</f>
        <v>4.9200000000000001E-2</v>
      </c>
      <c r="X27" s="3">
        <v>0.99439999999999995</v>
      </c>
      <c r="Y27" s="33">
        <v>0.98580000000000001</v>
      </c>
      <c r="Z27" s="3">
        <v>0.99739999999999995</v>
      </c>
      <c r="AA27" s="3"/>
      <c r="AB27" s="3"/>
      <c r="AC27" s="3"/>
      <c r="AD27" s="3"/>
      <c r="AE27" s="3"/>
      <c r="AF27" s="3"/>
    </row>
    <row r="28" spans="2:32" x14ac:dyDescent="0.2">
      <c r="C28" s="3" t="s">
        <v>128</v>
      </c>
      <c r="D28" s="3"/>
      <c r="E28" s="3"/>
      <c r="F28" s="3"/>
      <c r="G28" s="3"/>
      <c r="H28" s="3"/>
      <c r="I28" s="32">
        <v>9.9999999999999995E-7</v>
      </c>
      <c r="J28" s="33">
        <v>0.70909999999999995</v>
      </c>
      <c r="K28" s="3">
        <v>0.62409999999999999</v>
      </c>
      <c r="L28" s="33">
        <v>1</v>
      </c>
      <c r="M28" s="3">
        <f t="shared" ref="M28:M30" si="0">K28</f>
        <v>0.62409999999999999</v>
      </c>
      <c r="N28" s="57">
        <f t="shared" ref="N28:N30" si="1">M28</f>
        <v>0.62409999999999999</v>
      </c>
      <c r="O28" s="57">
        <v>0.71360000000000001</v>
      </c>
      <c r="P28" s="58">
        <f t="shared" ref="P28:P29" si="2">J28</f>
        <v>0.70909999999999995</v>
      </c>
      <c r="Q28" s="57">
        <f t="shared" ref="Q28:Q29" si="3">N28</f>
        <v>0.62409999999999999</v>
      </c>
      <c r="R28" s="57">
        <f t="shared" ref="R28:R30" si="4">N28</f>
        <v>0.62409999999999999</v>
      </c>
      <c r="S28" s="3">
        <v>1.15E-2</v>
      </c>
      <c r="T28" s="3">
        <v>0.67449999999999999</v>
      </c>
      <c r="U28" s="3">
        <f t="shared" ref="U28:U29" si="5">T28</f>
        <v>0.67449999999999999</v>
      </c>
      <c r="V28" s="3">
        <v>2.0000000000000001E-4</v>
      </c>
      <c r="W28" s="3">
        <f t="shared" ref="W28:W29" si="6">O28</f>
        <v>0.71360000000000001</v>
      </c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1.1299999999999999E-2</v>
      </c>
      <c r="H29" s="3">
        <f>G29</f>
        <v>1.1299999999999999E-2</v>
      </c>
      <c r="I29" s="3">
        <v>2.1299999999999999E-2</v>
      </c>
      <c r="J29" s="33">
        <v>0.24110000000000001</v>
      </c>
      <c r="K29" s="3">
        <v>0.2127</v>
      </c>
      <c r="L29" s="3"/>
      <c r="M29" s="3">
        <f t="shared" si="0"/>
        <v>0.2127</v>
      </c>
      <c r="N29" s="57">
        <f t="shared" si="1"/>
        <v>0.2127</v>
      </c>
      <c r="O29" s="58">
        <v>0.23719999999999999</v>
      </c>
      <c r="P29" s="58">
        <f t="shared" si="2"/>
        <v>0.24110000000000001</v>
      </c>
      <c r="Q29" s="57">
        <f t="shared" si="3"/>
        <v>0.2127</v>
      </c>
      <c r="R29" s="57">
        <f t="shared" si="4"/>
        <v>0.2127</v>
      </c>
      <c r="S29" s="3">
        <v>6.7400000000000002E-2</v>
      </c>
      <c r="T29" s="3">
        <v>0.22470000000000001</v>
      </c>
      <c r="U29" s="3">
        <f t="shared" si="5"/>
        <v>0.22470000000000001</v>
      </c>
      <c r="V29" s="33">
        <v>1.55E-2</v>
      </c>
      <c r="W29" s="3">
        <f t="shared" si="6"/>
        <v>0.23719999999999999</v>
      </c>
      <c r="X29" s="3">
        <v>4.4000000000000003E-3</v>
      </c>
      <c r="Y29" s="3">
        <v>1.41E-2</v>
      </c>
      <c r="Z29" s="33">
        <v>1.9E-3</v>
      </c>
      <c r="AA29" s="33">
        <v>1</v>
      </c>
      <c r="AB29" s="33">
        <v>1</v>
      </c>
      <c r="AC29" s="3"/>
      <c r="AD29" s="3"/>
      <c r="AE29" s="3"/>
      <c r="AF29" s="3"/>
    </row>
    <row r="30" spans="2:32" x14ac:dyDescent="0.2">
      <c r="C30" s="3" t="s">
        <v>5</v>
      </c>
      <c r="D30" s="3">
        <v>0.68130000000000002</v>
      </c>
      <c r="E30" s="3"/>
      <c r="F30" s="3"/>
      <c r="G30" s="3">
        <v>0.79200000000000004</v>
      </c>
      <c r="H30" s="3">
        <f>G30</f>
        <v>0.79200000000000004</v>
      </c>
      <c r="I30" s="3">
        <v>0.90300000000000002</v>
      </c>
      <c r="J30" s="33"/>
      <c r="K30" s="3">
        <v>1E-4</v>
      </c>
      <c r="L30" s="3"/>
      <c r="M30" s="3">
        <f t="shared" si="0"/>
        <v>1E-4</v>
      </c>
      <c r="N30" s="57">
        <f t="shared" si="1"/>
        <v>1E-4</v>
      </c>
      <c r="O30" s="57"/>
      <c r="P30" s="57"/>
      <c r="Q30" s="57">
        <f>N30</f>
        <v>1E-4</v>
      </c>
      <c r="R30" s="57">
        <f t="shared" si="4"/>
        <v>1E-4</v>
      </c>
      <c r="S30" s="33">
        <v>1E-3</v>
      </c>
      <c r="T30" s="3"/>
      <c r="U30" s="3"/>
      <c r="V30" s="3">
        <v>1E-4</v>
      </c>
      <c r="W30" s="3"/>
      <c r="X30" s="3">
        <v>1.1000000000000001E-3</v>
      </c>
      <c r="Y30" s="3">
        <v>1E-4</v>
      </c>
      <c r="Z30" s="3">
        <v>6.9999999999999999E-4</v>
      </c>
      <c r="AA30" s="3"/>
      <c r="AB30" s="3"/>
      <c r="AC30" s="3"/>
      <c r="AD30" s="3"/>
      <c r="AE30" s="3"/>
      <c r="AF30" s="3"/>
    </row>
    <row r="31" spans="2:32" x14ac:dyDescent="0.2">
      <c r="C31" s="3" t="s">
        <v>6</v>
      </c>
      <c r="D31" s="3"/>
      <c r="E31" s="3"/>
      <c r="F31" s="3"/>
      <c r="G31" s="3"/>
      <c r="H31" s="3"/>
      <c r="I31" s="3"/>
      <c r="J31" s="33"/>
      <c r="K31" s="3"/>
      <c r="L31" s="3"/>
      <c r="M31" s="3"/>
      <c r="N31" s="57"/>
      <c r="O31" s="57"/>
      <c r="P31" s="57"/>
      <c r="Q31" s="57"/>
      <c r="R31" s="57"/>
      <c r="S31" s="3"/>
      <c r="T31" s="3"/>
      <c r="U31" s="3"/>
      <c r="V31" s="3"/>
      <c r="W31" s="3"/>
      <c r="X31" s="33"/>
      <c r="Y31" s="33"/>
      <c r="Z31" s="33"/>
      <c r="AA31" s="33"/>
      <c r="AB31" s="33"/>
      <c r="AC31" s="33">
        <v>1</v>
      </c>
      <c r="AD31" s="33">
        <v>1</v>
      </c>
      <c r="AE31" s="33">
        <v>1</v>
      </c>
      <c r="AF31" s="33">
        <v>1</v>
      </c>
    </row>
    <row r="32" spans="2:32" x14ac:dyDescent="0.2">
      <c r="C32" s="3" t="s">
        <v>7</v>
      </c>
      <c r="D32" s="3">
        <v>3.6600000000000001E-2</v>
      </c>
      <c r="E32" s="3"/>
      <c r="F32" s="3"/>
      <c r="G32" s="3">
        <v>4.2500000000000003E-2</v>
      </c>
      <c r="H32" s="3">
        <f>G32</f>
        <v>4.2500000000000003E-2</v>
      </c>
      <c r="I32" s="3">
        <v>4.8500000000000001E-2</v>
      </c>
      <c r="J32" s="33"/>
      <c r="K32" s="3"/>
      <c r="L32" s="3"/>
      <c r="M32" s="3"/>
      <c r="N32" s="57"/>
      <c r="O32" s="57"/>
      <c r="P32" s="57"/>
      <c r="Q32" s="57"/>
      <c r="R32" s="57"/>
      <c r="S32" s="3">
        <v>1E-4</v>
      </c>
      <c r="T32" s="3"/>
      <c r="U32" s="3"/>
      <c r="V32" s="3"/>
      <c r="W32" s="3"/>
      <c r="X32" s="3">
        <v>1E-4</v>
      </c>
      <c r="Y32" s="3"/>
      <c r="Z32" s="3"/>
      <c r="AA32" s="3"/>
      <c r="AB32" s="3"/>
      <c r="AC32" s="3"/>
      <c r="AD32" s="3"/>
      <c r="AE32" s="3"/>
      <c r="AF32" s="3"/>
    </row>
    <row r="33" spans="2:32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58"/>
      <c r="O33" s="58"/>
      <c r="P33" s="58"/>
      <c r="Q33" s="58"/>
      <c r="R33" s="58"/>
      <c r="S33" s="33"/>
      <c r="T33" s="33"/>
      <c r="U33" s="33"/>
      <c r="V33" s="33"/>
      <c r="W33" s="33"/>
      <c r="X33" s="3"/>
      <c r="Y33" s="3"/>
      <c r="Z33" s="3"/>
      <c r="AA33" s="3"/>
      <c r="AB33" s="3"/>
      <c r="AC33" s="3"/>
      <c r="AD33" s="3"/>
      <c r="AE33" s="3"/>
      <c r="AF33" s="3"/>
    </row>
    <row r="34" spans="2:32" x14ac:dyDescent="0.2">
      <c r="C34" s="3" t="s">
        <v>8</v>
      </c>
      <c r="D34" s="31">
        <f>116568*O22</f>
        <v>108524.808</v>
      </c>
      <c r="E34" s="31">
        <f>2401.7*O22</f>
        <v>2235.9827</v>
      </c>
      <c r="F34" s="31">
        <f>O22*14087.3</f>
        <v>13115.2763</v>
      </c>
      <c r="G34" s="31">
        <f>100285*O22</f>
        <v>93365.335000000006</v>
      </c>
      <c r="H34" s="31">
        <f>G34</f>
        <v>93365.335000000006</v>
      </c>
      <c r="I34" s="31">
        <f>87931*O22</f>
        <v>81863.760999999999</v>
      </c>
      <c r="J34" s="31">
        <f>96473.9*O22</f>
        <v>89817.200899999996</v>
      </c>
      <c r="K34" s="31">
        <f>109583*O22</f>
        <v>102021.773</v>
      </c>
      <c r="L34" s="31">
        <f>L35/L41</f>
        <v>1.2451220865704773</v>
      </c>
      <c r="M34" s="31">
        <f>K34</f>
        <v>102021.773</v>
      </c>
      <c r="N34" s="59">
        <f>98624*O22</f>
        <v>91818.944000000003</v>
      </c>
      <c r="O34" s="59">
        <f>95720*O22</f>
        <v>89115.32</v>
      </c>
      <c r="P34" s="59">
        <f>J34</f>
        <v>89817.200899999996</v>
      </c>
      <c r="Q34" s="59">
        <f>10958.3*O22</f>
        <v>10202.177299999999</v>
      </c>
      <c r="R34" s="59">
        <f>N34</f>
        <v>91818.944000000003</v>
      </c>
      <c r="S34" s="31">
        <f>7512.9*O22</f>
        <v>6994.5099</v>
      </c>
      <c r="T34" s="31">
        <f>91111*O22</f>
        <v>84824.341</v>
      </c>
      <c r="U34" s="31">
        <f>T34</f>
        <v>84824.341</v>
      </c>
      <c r="V34" s="31">
        <f>6349*O22</f>
        <v>5910.9189999999999</v>
      </c>
      <c r="W34" s="31">
        <f>O34</f>
        <v>89115.32</v>
      </c>
      <c r="X34" s="31">
        <f>6864.2*O22</f>
        <v>6390.5702000000001</v>
      </c>
      <c r="Y34" s="31">
        <f>6337.8*O22</f>
        <v>5900.4918000000007</v>
      </c>
      <c r="Z34" s="31">
        <f>13106.9*O22</f>
        <v>12202.5239</v>
      </c>
      <c r="AA34" s="31">
        <f>32041.8*O22/1347.2*1117.6</f>
        <v>24746.90580320665</v>
      </c>
      <c r="AB34" s="31">
        <f>32041.8*O22/1347.2*229.6</f>
        <v>5084.0099967933493</v>
      </c>
      <c r="AC34" s="31">
        <f>7276.4*O22</f>
        <v>6774.3284000000003</v>
      </c>
      <c r="AD34" s="31">
        <f>AC34</f>
        <v>6774.3284000000003</v>
      </c>
      <c r="AE34" s="31">
        <f t="shared" ref="AE34:AF35" si="7">AD34</f>
        <v>6774.3284000000003</v>
      </c>
      <c r="AF34" s="31">
        <f t="shared" si="7"/>
        <v>6774.3284000000003</v>
      </c>
    </row>
    <row r="35" spans="2:32" x14ac:dyDescent="0.2">
      <c r="C35" s="3" t="s">
        <v>9</v>
      </c>
      <c r="D35" s="31">
        <f>3351890*O22</f>
        <v>3120609.5900000003</v>
      </c>
      <c r="E35" s="31">
        <f>39566.2*O22</f>
        <v>36836.1322</v>
      </c>
      <c r="F35" s="31">
        <f>O22*253821</f>
        <v>236307.35100000002</v>
      </c>
      <c r="G35" s="31">
        <f>3058500*O22</f>
        <v>2847463.5</v>
      </c>
      <c r="H35" s="31">
        <f>G35</f>
        <v>2847463.5</v>
      </c>
      <c r="I35" s="31">
        <f>2496090*O22</f>
        <v>2323859.79</v>
      </c>
      <c r="J35" s="31">
        <f>12960200*O22</f>
        <v>12065946.200000001</v>
      </c>
      <c r="K35" s="31">
        <f>13534700*O22</f>
        <v>12600805.700000001</v>
      </c>
      <c r="L35" s="31">
        <f>241*O22</f>
        <v>224.37100000000001</v>
      </c>
      <c r="M35" s="31">
        <f>K35</f>
        <v>12600805.700000001</v>
      </c>
      <c r="N35" s="59">
        <f>12181200*O22</f>
        <v>11340697.200000001</v>
      </c>
      <c r="O35" s="59">
        <f>12928500*O22</f>
        <v>12036433.5</v>
      </c>
      <c r="P35" s="59">
        <f>J35</f>
        <v>12065946.200000001</v>
      </c>
      <c r="Q35" s="59">
        <f>1353470*O22</f>
        <v>1260080.57</v>
      </c>
      <c r="R35" s="59">
        <f>N35</f>
        <v>11340697.200000001</v>
      </c>
      <c r="S35" s="31">
        <f>329111*O22</f>
        <v>306402.34100000001</v>
      </c>
      <c r="T35" s="31">
        <f>11852100*O22</f>
        <v>11034305.100000001</v>
      </c>
      <c r="U35" s="31">
        <f>T35</f>
        <v>11034305.100000001</v>
      </c>
      <c r="V35" s="31">
        <f>277045*O22</f>
        <v>257928.89500000002</v>
      </c>
      <c r="W35" s="31">
        <f>O35</f>
        <v>12036433.5</v>
      </c>
      <c r="X35" s="31">
        <f>301175*O22</f>
        <v>280393.92499999999</v>
      </c>
      <c r="Y35" s="31">
        <f>276590*O22</f>
        <v>257505.29</v>
      </c>
      <c r="Z35" s="31">
        <f>576050*O22</f>
        <v>536302.55000000005</v>
      </c>
      <c r="AA35" s="31">
        <f>577242*O22/1347.2*1117.6</f>
        <v>445822.43817933486</v>
      </c>
      <c r="AB35" s="31">
        <f>577242*O22/1347.2*229.6</f>
        <v>91589.863820665079</v>
      </c>
      <c r="AC35" s="31">
        <f>123922*O22</f>
        <v>115371.38200000001</v>
      </c>
      <c r="AD35" s="31">
        <f>AC35</f>
        <v>115371.38200000001</v>
      </c>
      <c r="AE35" s="31">
        <f t="shared" si="7"/>
        <v>115371.38200000001</v>
      </c>
      <c r="AF35" s="31">
        <f t="shared" si="7"/>
        <v>115371.38200000001</v>
      </c>
    </row>
    <row r="36" spans="2:3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7"/>
      <c r="O36" s="57"/>
      <c r="P36" s="57"/>
      <c r="Q36" s="57"/>
      <c r="R36" s="57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x14ac:dyDescent="0.2">
      <c r="C37" s="3" t="s">
        <v>10</v>
      </c>
      <c r="D37" s="3">
        <v>56.2</v>
      </c>
      <c r="E37" s="3">
        <v>8.9</v>
      </c>
      <c r="F37" s="3">
        <v>25.6</v>
      </c>
      <c r="G37" s="3">
        <v>8.9</v>
      </c>
      <c r="H37" s="3">
        <v>17.100000000000001</v>
      </c>
      <c r="I37" s="3">
        <v>19.8</v>
      </c>
      <c r="J37" s="3">
        <v>23.9</v>
      </c>
      <c r="K37" s="3">
        <v>35.200000000000003</v>
      </c>
      <c r="L37" s="3">
        <v>23.9</v>
      </c>
      <c r="M37" s="3">
        <v>35.299999999999997</v>
      </c>
      <c r="N37" s="57">
        <v>86.9</v>
      </c>
      <c r="O37" s="57">
        <v>102.7</v>
      </c>
      <c r="P37" s="57">
        <v>39.4</v>
      </c>
      <c r="Q37" s="57">
        <f>M37</f>
        <v>35.299999999999997</v>
      </c>
      <c r="R37" s="57">
        <v>103.6</v>
      </c>
      <c r="S37" s="3">
        <f>R37</f>
        <v>103.6</v>
      </c>
      <c r="T37" s="3">
        <v>103.6</v>
      </c>
      <c r="U37" s="3">
        <v>103.6</v>
      </c>
      <c r="V37" s="3">
        <v>51</v>
      </c>
      <c r="W37" s="3">
        <v>102.6</v>
      </c>
      <c r="X37" s="3">
        <v>25.6</v>
      </c>
      <c r="Y37" s="3">
        <v>25.6</v>
      </c>
      <c r="Z37" s="3">
        <v>44.1</v>
      </c>
      <c r="AA37" s="3">
        <v>167.7</v>
      </c>
      <c r="AB37" s="3">
        <f>AA37</f>
        <v>167.7</v>
      </c>
      <c r="AC37" s="3">
        <v>3.7</v>
      </c>
      <c r="AD37" s="3">
        <v>79.3</v>
      </c>
      <c r="AE37" s="3">
        <v>28.9</v>
      </c>
      <c r="AF37" s="3">
        <v>2.6</v>
      </c>
    </row>
    <row r="38" spans="2:32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1.02</v>
      </c>
      <c r="J38" s="3">
        <v>1.5</v>
      </c>
      <c r="K38" s="3">
        <v>1.1000000000000001</v>
      </c>
      <c r="L38" s="3">
        <v>1.5</v>
      </c>
      <c r="M38" s="3">
        <v>6.5</v>
      </c>
      <c r="N38" s="57">
        <v>6</v>
      </c>
      <c r="O38" s="57">
        <v>6</v>
      </c>
      <c r="P38" s="57">
        <v>3.03</v>
      </c>
      <c r="Q38" s="57">
        <f t="shared" ref="Q38:Q41" si="8">M38</f>
        <v>6.5</v>
      </c>
      <c r="R38" s="57">
        <v>5.4</v>
      </c>
      <c r="S38" s="3">
        <f>R38</f>
        <v>5.4</v>
      </c>
      <c r="T38" s="3">
        <v>5.4</v>
      </c>
      <c r="U38" s="3">
        <v>1.8</v>
      </c>
      <c r="V38" s="3">
        <v>2.2999999999999998</v>
      </c>
      <c r="W38" s="3">
        <v>1.8</v>
      </c>
      <c r="X38" s="3">
        <v>5.3</v>
      </c>
      <c r="Y38" s="3">
        <v>1.8</v>
      </c>
      <c r="Z38" s="3">
        <v>152.69999999999999</v>
      </c>
      <c r="AA38" s="3">
        <v>1.8</v>
      </c>
      <c r="AB38" s="3">
        <f t="shared" ref="AB38:AB41" si="9">AA38</f>
        <v>1.8</v>
      </c>
      <c r="AC38" s="3">
        <v>4.7</v>
      </c>
      <c r="AD38" s="3">
        <v>11.5</v>
      </c>
      <c r="AE38" s="3">
        <v>11.5</v>
      </c>
      <c r="AF38" s="3">
        <v>4.7</v>
      </c>
    </row>
    <row r="39" spans="2:32" x14ac:dyDescent="0.2">
      <c r="C39" s="3" t="s">
        <v>12</v>
      </c>
      <c r="D39" s="34">
        <v>-2959</v>
      </c>
      <c r="E39" s="34">
        <v>-15941</v>
      </c>
      <c r="F39" s="34">
        <v>-15872</v>
      </c>
      <c r="G39" s="34">
        <v>-1976.2</v>
      </c>
      <c r="H39" s="34">
        <v>-1968</v>
      </c>
      <c r="I39" s="34">
        <v>-416.4</v>
      </c>
      <c r="J39" s="34">
        <v>-3303.5</v>
      </c>
      <c r="K39" s="34">
        <v>-3661</v>
      </c>
      <c r="L39" s="34">
        <v>-2812.4</v>
      </c>
      <c r="M39" s="34">
        <v>-3660.5</v>
      </c>
      <c r="N39" s="60">
        <v>-3460</v>
      </c>
      <c r="O39" s="60">
        <v>-3125.7</v>
      </c>
      <c r="P39" s="60">
        <v>-3326.4</v>
      </c>
      <c r="Q39" s="57">
        <f t="shared" si="8"/>
        <v>-3660.5</v>
      </c>
      <c r="R39" s="60">
        <v>-3368</v>
      </c>
      <c r="S39" s="34">
        <v>-8779</v>
      </c>
      <c r="T39" s="34">
        <v>-3220.8</v>
      </c>
      <c r="U39" s="34">
        <v>-3201.4</v>
      </c>
      <c r="V39" s="34">
        <v>-8959</v>
      </c>
      <c r="W39" s="34">
        <v>-3126</v>
      </c>
      <c r="X39" s="34">
        <v>-8952</v>
      </c>
      <c r="Y39" s="34">
        <v>-8973</v>
      </c>
      <c r="Z39" s="34">
        <v>-9154</v>
      </c>
      <c r="AA39" s="34">
        <v>-13174</v>
      </c>
      <c r="AB39" s="3">
        <f t="shared" si="9"/>
        <v>-13174</v>
      </c>
      <c r="AC39" s="34">
        <v>-2769.3</v>
      </c>
      <c r="AD39" s="34">
        <v>-2611.1999999999998</v>
      </c>
      <c r="AE39" s="34">
        <v>-3900</v>
      </c>
      <c r="AF39" s="34">
        <v>-3901</v>
      </c>
    </row>
    <row r="40" spans="2:32" x14ac:dyDescent="0.2">
      <c r="C40" s="3" t="s">
        <v>13</v>
      </c>
      <c r="D40" s="3">
        <v>1.1100000000000001</v>
      </c>
      <c r="E40" s="3">
        <v>999.7</v>
      </c>
      <c r="F40" s="3">
        <v>996.8</v>
      </c>
      <c r="G40" s="3">
        <v>1.33</v>
      </c>
      <c r="H40" s="3">
        <v>1.4</v>
      </c>
      <c r="I40" s="3">
        <v>1.2</v>
      </c>
      <c r="J40" s="3">
        <v>934.4</v>
      </c>
      <c r="K40" s="3">
        <v>960.1</v>
      </c>
      <c r="L40" s="3">
        <v>919.5</v>
      </c>
      <c r="M40" s="3">
        <v>960</v>
      </c>
      <c r="N40" s="57">
        <v>492.4</v>
      </c>
      <c r="O40" s="57">
        <v>869.3</v>
      </c>
      <c r="P40" s="57">
        <v>922.9</v>
      </c>
      <c r="Q40" s="57">
        <f t="shared" si="8"/>
        <v>960</v>
      </c>
      <c r="R40" s="57">
        <v>212.2</v>
      </c>
      <c r="S40" s="3">
        <v>7.58</v>
      </c>
      <c r="T40" s="3">
        <v>869.1</v>
      </c>
      <c r="U40" s="3">
        <v>77.8</v>
      </c>
      <c r="V40" s="3">
        <v>3.77</v>
      </c>
      <c r="W40" s="3">
        <v>869.4</v>
      </c>
      <c r="X40" s="3">
        <v>9.76</v>
      </c>
      <c r="Y40" s="3">
        <v>3.18</v>
      </c>
      <c r="Z40" s="3">
        <v>488.6</v>
      </c>
      <c r="AA40" s="3">
        <v>0.88</v>
      </c>
      <c r="AB40" s="3">
        <f t="shared" si="9"/>
        <v>0.88</v>
      </c>
      <c r="AC40" s="3">
        <v>3.76</v>
      </c>
      <c r="AD40" s="3">
        <v>7.14</v>
      </c>
      <c r="AE40" s="3">
        <v>596.9</v>
      </c>
      <c r="AF40" s="3">
        <v>36.200000000000003</v>
      </c>
    </row>
    <row r="41" spans="2:32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30.5</v>
      </c>
      <c r="H41" s="3">
        <f>G41</f>
        <v>30.5</v>
      </c>
      <c r="I41" s="3">
        <v>28.39</v>
      </c>
      <c r="J41" s="3">
        <v>134.30000000000001</v>
      </c>
      <c r="K41" s="3">
        <v>123.5</v>
      </c>
      <c r="L41" s="3">
        <v>180.2</v>
      </c>
      <c r="M41" s="3">
        <f>K41</f>
        <v>123.5</v>
      </c>
      <c r="N41" s="57">
        <v>123.5</v>
      </c>
      <c r="O41" s="57">
        <v>135.1</v>
      </c>
      <c r="P41" s="57">
        <v>134.30000000000001</v>
      </c>
      <c r="Q41" s="57">
        <f t="shared" si="8"/>
        <v>123.5</v>
      </c>
      <c r="R41" s="57">
        <f>N41</f>
        <v>123.5</v>
      </c>
      <c r="S41" s="3">
        <v>43.3</v>
      </c>
      <c r="T41" s="3">
        <v>130.1</v>
      </c>
      <c r="U41" s="3">
        <f>T41</f>
        <v>130.1</v>
      </c>
      <c r="V41" s="3">
        <v>43.4</v>
      </c>
      <c r="W41" s="3">
        <v>135.1</v>
      </c>
      <c r="X41" s="3">
        <v>43.9</v>
      </c>
      <c r="Y41" s="3">
        <v>43.6</v>
      </c>
      <c r="Z41" s="3">
        <v>43.95</v>
      </c>
      <c r="AA41" s="3">
        <v>18</v>
      </c>
      <c r="AB41" s="3">
        <f t="shared" si="9"/>
        <v>18</v>
      </c>
      <c r="AC41" s="3">
        <v>17.03</v>
      </c>
      <c r="AD41" s="3">
        <v>17.03</v>
      </c>
      <c r="AE41" s="3">
        <v>17.03</v>
      </c>
      <c r="AF41" s="3">
        <v>17.03</v>
      </c>
    </row>
    <row r="43" spans="2:32" x14ac:dyDescent="0.2">
      <c r="B43" s="1" t="s">
        <v>132</v>
      </c>
      <c r="D43" t="s">
        <v>199</v>
      </c>
    </row>
    <row r="45" spans="2:32" x14ac:dyDescent="0.2">
      <c r="C45" s="53" t="s">
        <v>138</v>
      </c>
      <c r="D45" s="18"/>
      <c r="E45" s="42"/>
    </row>
    <row r="46" spans="2:32" x14ac:dyDescent="0.2">
      <c r="C46" s="37" t="s">
        <v>133</v>
      </c>
      <c r="D46" s="7">
        <f>5442*O22</f>
        <v>5066.5020000000004</v>
      </c>
      <c r="E46" s="36" t="s">
        <v>139</v>
      </c>
    </row>
    <row r="47" spans="2:32" x14ac:dyDescent="0.2">
      <c r="C47" s="37" t="s">
        <v>134</v>
      </c>
      <c r="D47" s="7">
        <f>D89</f>
        <v>1881.1545648421104</v>
      </c>
      <c r="E47" s="36" t="s">
        <v>139</v>
      </c>
    </row>
    <row r="48" spans="2:32" x14ac:dyDescent="0.2">
      <c r="C48" s="37" t="s">
        <v>135</v>
      </c>
      <c r="D48" s="7">
        <f>D88</f>
        <v>2291.942917717126</v>
      </c>
      <c r="E48" s="36" t="s">
        <v>139</v>
      </c>
    </row>
    <row r="49" spans="2:8" x14ac:dyDescent="0.2">
      <c r="C49" s="37" t="s">
        <v>136</v>
      </c>
      <c r="D49" s="7">
        <f>D87</f>
        <v>53.403695607484202</v>
      </c>
      <c r="E49" s="36" t="s">
        <v>139</v>
      </c>
    </row>
    <row r="50" spans="2:8" x14ac:dyDescent="0.2">
      <c r="C50" s="37" t="s">
        <v>137</v>
      </c>
      <c r="D50" s="7">
        <f>D64</f>
        <v>6466</v>
      </c>
      <c r="E50" s="36" t="s">
        <v>139</v>
      </c>
    </row>
    <row r="51" spans="2:8" x14ac:dyDescent="0.2">
      <c r="C51" s="39" t="s">
        <v>141</v>
      </c>
      <c r="D51" s="52">
        <f>D100</f>
        <v>33824</v>
      </c>
      <c r="E51" s="40" t="s">
        <v>139</v>
      </c>
    </row>
    <row r="53" spans="2:8" x14ac:dyDescent="0.2">
      <c r="C53" s="53" t="s">
        <v>140</v>
      </c>
      <c r="D53" s="18"/>
      <c r="E53" s="42"/>
    </row>
    <row r="54" spans="2:8" x14ac:dyDescent="0.2">
      <c r="C54" s="37" t="s">
        <v>144</v>
      </c>
      <c r="D54" s="35">
        <f>(159.8)*O22</f>
        <v>148.77380000000002</v>
      </c>
      <c r="E54" s="36" t="s">
        <v>142</v>
      </c>
    </row>
    <row r="55" spans="2:8" x14ac:dyDescent="0.2">
      <c r="C55" s="37" t="s">
        <v>143</v>
      </c>
      <c r="D55" s="35">
        <f>D67+D68</f>
        <v>470.8655911443409</v>
      </c>
      <c r="E55" s="36" t="s">
        <v>142</v>
      </c>
    </row>
    <row r="56" spans="2:8" x14ac:dyDescent="0.2">
      <c r="C56" s="37" t="s">
        <v>145</v>
      </c>
      <c r="D56" s="35">
        <f>D70</f>
        <v>2274.4948350413229</v>
      </c>
      <c r="E56" s="36" t="s">
        <v>142</v>
      </c>
    </row>
    <row r="57" spans="2:8" x14ac:dyDescent="0.2">
      <c r="C57" s="37" t="s">
        <v>190</v>
      </c>
      <c r="D57" s="35">
        <f>D73</f>
        <v>65.2</v>
      </c>
      <c r="E57" s="36" t="s">
        <v>142</v>
      </c>
    </row>
    <row r="58" spans="2:8" x14ac:dyDescent="0.2">
      <c r="C58" s="39" t="s">
        <v>147</v>
      </c>
      <c r="D58" s="54">
        <f>D66</f>
        <v>678.8467366399143</v>
      </c>
      <c r="E58" s="40" t="s">
        <v>142</v>
      </c>
    </row>
    <row r="60" spans="2:8" x14ac:dyDescent="0.2">
      <c r="B60" s="1" t="s">
        <v>150</v>
      </c>
    </row>
    <row r="62" spans="2:8" x14ac:dyDescent="0.2">
      <c r="B62" s="43" t="s">
        <v>189</v>
      </c>
      <c r="C62" s="44"/>
      <c r="D62" s="43" t="s">
        <v>148</v>
      </c>
      <c r="E62" s="44"/>
      <c r="F62" s="43" t="s">
        <v>154</v>
      </c>
      <c r="G62" s="43" t="s">
        <v>169</v>
      </c>
      <c r="H62" s="45"/>
    </row>
    <row r="63" spans="2:8" x14ac:dyDescent="0.2">
      <c r="B63" s="37" t="s">
        <v>149</v>
      </c>
      <c r="C63" s="36"/>
      <c r="F63" s="37"/>
      <c r="G63" s="37"/>
      <c r="H63" s="36"/>
    </row>
    <row r="64" spans="2:8" x14ac:dyDescent="0.2">
      <c r="B64" s="37"/>
      <c r="C64" s="36" t="s">
        <v>137</v>
      </c>
      <c r="D64" s="56">
        <v>6466</v>
      </c>
      <c r="E64" t="s">
        <v>139</v>
      </c>
      <c r="F64" s="37"/>
      <c r="G64" s="46">
        <v>9540460.9436072223</v>
      </c>
      <c r="H64" s="36"/>
    </row>
    <row r="65" spans="2:8" x14ac:dyDescent="0.2">
      <c r="B65" s="37" t="s">
        <v>156</v>
      </c>
      <c r="C65" s="36"/>
      <c r="D65" s="48"/>
      <c r="F65" s="37"/>
      <c r="G65" s="37"/>
      <c r="H65" s="36"/>
    </row>
    <row r="66" spans="2:8" x14ac:dyDescent="0.2">
      <c r="B66" s="37"/>
      <c r="C66" s="36" t="s">
        <v>147</v>
      </c>
      <c r="D66" s="48">
        <v>678.8467366399143</v>
      </c>
      <c r="E66" t="s">
        <v>142</v>
      </c>
      <c r="F66" s="37"/>
      <c r="G66" s="46">
        <v>9355139.3750406187</v>
      </c>
      <c r="H66" s="36"/>
    </row>
    <row r="67" spans="2:8" x14ac:dyDescent="0.2">
      <c r="B67" s="37"/>
      <c r="C67" s="36" t="s">
        <v>170</v>
      </c>
      <c r="D67" s="48">
        <v>139.49160496548754</v>
      </c>
      <c r="E67" t="s">
        <v>142</v>
      </c>
      <c r="F67" s="37"/>
      <c r="G67" s="46">
        <v>372390.47500837885</v>
      </c>
      <c r="H67" s="36"/>
    </row>
    <row r="68" spans="2:8" x14ac:dyDescent="0.2">
      <c r="B68" s="37"/>
      <c r="C68" s="36" t="s">
        <v>157</v>
      </c>
      <c r="D68" s="48">
        <v>331.37398617885333</v>
      </c>
      <c r="E68" t="s">
        <v>142</v>
      </c>
      <c r="F68" s="37"/>
      <c r="G68" s="46">
        <v>2651417.8200043212</v>
      </c>
      <c r="H68" s="36"/>
    </row>
    <row r="69" spans="2:8" x14ac:dyDescent="0.2">
      <c r="B69" s="37"/>
      <c r="C69" s="36" t="s">
        <v>158</v>
      </c>
      <c r="D69" s="48">
        <v>354.26587064950701</v>
      </c>
      <c r="E69" t="s">
        <v>142</v>
      </c>
      <c r="F69" s="37"/>
      <c r="G69" s="46">
        <v>2762539.0295709195</v>
      </c>
      <c r="H69" s="36"/>
    </row>
    <row r="70" spans="2:8" x14ac:dyDescent="0.2">
      <c r="B70" s="37"/>
      <c r="C70" s="36" t="s">
        <v>159</v>
      </c>
      <c r="D70" s="48">
        <v>2274.4948350413229</v>
      </c>
      <c r="E70" t="s">
        <v>142</v>
      </c>
      <c r="F70" s="37"/>
      <c r="G70" s="46">
        <v>21667229.388634779</v>
      </c>
      <c r="H70" s="36"/>
    </row>
    <row r="71" spans="2:8" x14ac:dyDescent="0.2">
      <c r="B71" s="37"/>
      <c r="C71" s="36" t="s">
        <v>171</v>
      </c>
      <c r="D71" s="48">
        <v>484.46113716532665</v>
      </c>
      <c r="E71" t="s">
        <v>142</v>
      </c>
      <c r="F71" s="37"/>
      <c r="G71" s="46">
        <v>5176749.0930982856</v>
      </c>
      <c r="H71" s="36"/>
    </row>
    <row r="72" spans="2:8" x14ac:dyDescent="0.2">
      <c r="B72" s="37"/>
      <c r="C72" s="36" t="s">
        <v>191</v>
      </c>
      <c r="D72" s="48">
        <f>1097.1+213.7</f>
        <v>1310.8</v>
      </c>
      <c r="E72" t="s">
        <v>142</v>
      </c>
      <c r="F72" s="37"/>
      <c r="G72" s="46">
        <v>15581771.363541987</v>
      </c>
      <c r="H72" s="36"/>
    </row>
    <row r="73" spans="2:8" x14ac:dyDescent="0.2">
      <c r="B73" s="37"/>
      <c r="C73" s="36" t="s">
        <v>192</v>
      </c>
      <c r="D73" s="48">
        <f>59.5+5.7</f>
        <v>65.2</v>
      </c>
      <c r="E73" t="s">
        <v>142</v>
      </c>
      <c r="F73" s="37"/>
      <c r="G73" s="46">
        <f>150444+35161</f>
        <v>185605</v>
      </c>
      <c r="H73" s="36"/>
    </row>
    <row r="74" spans="2:8" x14ac:dyDescent="0.2">
      <c r="B74" s="37"/>
      <c r="C74" s="36" t="s">
        <v>161</v>
      </c>
      <c r="D74" s="48">
        <v>16.8</v>
      </c>
      <c r="E74" t="s">
        <v>142</v>
      </c>
      <c r="F74" s="37"/>
      <c r="G74" s="46">
        <v>61315</v>
      </c>
      <c r="H74" s="36"/>
    </row>
    <row r="75" spans="2:8" x14ac:dyDescent="0.2">
      <c r="B75" s="37" t="s">
        <v>183</v>
      </c>
      <c r="C75" s="36"/>
      <c r="F75" s="37"/>
      <c r="G75" s="37"/>
      <c r="H75" s="36"/>
    </row>
    <row r="76" spans="2:8" x14ac:dyDescent="0.2">
      <c r="B76" s="37"/>
      <c r="C76" s="36" t="s">
        <v>184</v>
      </c>
      <c r="D76" s="48">
        <f>19.6*O22^0.5</f>
        <v>18.911714887867785</v>
      </c>
      <c r="E76" t="s">
        <v>176</v>
      </c>
      <c r="F76" s="37"/>
      <c r="G76" s="46">
        <v>16812292.272372667</v>
      </c>
      <c r="H76" s="36"/>
    </row>
    <row r="77" spans="2:8" x14ac:dyDescent="0.2">
      <c r="B77" s="37"/>
      <c r="C77" s="36"/>
      <c r="D77" s="35">
        <v>16</v>
      </c>
      <c r="E77" t="s">
        <v>175</v>
      </c>
      <c r="F77" s="37"/>
      <c r="G77" s="46"/>
      <c r="H77" s="36"/>
    </row>
    <row r="78" spans="2:8" x14ac:dyDescent="0.2">
      <c r="B78" s="37"/>
      <c r="C78" s="36" t="s">
        <v>185</v>
      </c>
      <c r="D78" s="35">
        <f>20.7*O22^0.5</f>
        <v>19.973086641778732</v>
      </c>
      <c r="E78" t="s">
        <v>176</v>
      </c>
      <c r="F78" s="37"/>
      <c r="G78" s="46">
        <v>23691520.723763991</v>
      </c>
      <c r="H78" s="36"/>
    </row>
    <row r="79" spans="2:8" x14ac:dyDescent="0.2">
      <c r="B79" s="37"/>
      <c r="C79" s="36"/>
      <c r="D79" s="35">
        <v>19.8</v>
      </c>
      <c r="E79" t="s">
        <v>175</v>
      </c>
      <c r="F79" s="37"/>
      <c r="G79" s="46"/>
      <c r="H79" s="36"/>
    </row>
    <row r="80" spans="2:8" x14ac:dyDescent="0.2">
      <c r="B80" s="37"/>
      <c r="C80" s="36" t="s">
        <v>196</v>
      </c>
      <c r="D80" s="35">
        <f>4.9*O22^2</f>
        <v>4.2471289000000008</v>
      </c>
      <c r="E80" t="s">
        <v>176</v>
      </c>
      <c r="F80" s="37"/>
      <c r="G80" s="46">
        <f>1954222+2611019</f>
        <v>4565241</v>
      </c>
      <c r="H80" s="36"/>
    </row>
    <row r="81" spans="2:8" x14ac:dyDescent="0.2">
      <c r="B81" s="37"/>
      <c r="C81" s="36"/>
      <c r="D81" s="35">
        <v>1.5</v>
      </c>
      <c r="E81" t="s">
        <v>175</v>
      </c>
      <c r="F81" s="37"/>
      <c r="G81" s="46"/>
      <c r="H81" s="36"/>
    </row>
    <row r="82" spans="2:8" x14ac:dyDescent="0.2">
      <c r="B82" s="37"/>
      <c r="C82" s="36" t="s">
        <v>162</v>
      </c>
      <c r="F82" s="37"/>
      <c r="G82" s="46">
        <v>384481</v>
      </c>
      <c r="H82" s="36"/>
    </row>
    <row r="83" spans="2:8" x14ac:dyDescent="0.2">
      <c r="B83" s="37"/>
      <c r="C83" s="36" t="s">
        <v>193</v>
      </c>
      <c r="F83" s="37"/>
      <c r="G83" s="46">
        <f>51321+53883</f>
        <v>105204</v>
      </c>
      <c r="H83" s="36"/>
    </row>
    <row r="84" spans="2:8" x14ac:dyDescent="0.2">
      <c r="B84" s="37" t="s">
        <v>163</v>
      </c>
      <c r="C84" s="36"/>
      <c r="F84" s="37"/>
      <c r="G84" s="37"/>
      <c r="H84" s="36"/>
    </row>
    <row r="85" spans="2:8" x14ac:dyDescent="0.2">
      <c r="B85" s="37"/>
      <c r="C85" s="36" t="s">
        <v>164</v>
      </c>
      <c r="D85">
        <v>885</v>
      </c>
      <c r="E85" t="s">
        <v>139</v>
      </c>
      <c r="F85" s="37">
        <v>1</v>
      </c>
      <c r="G85" s="46">
        <v>2360066.2266612998</v>
      </c>
      <c r="H85" s="36"/>
    </row>
    <row r="86" spans="2:8" x14ac:dyDescent="0.2">
      <c r="B86" s="37"/>
      <c r="C86" s="36" t="s">
        <v>165</v>
      </c>
      <c r="D86">
        <v>198</v>
      </c>
      <c r="E86" t="s">
        <v>139</v>
      </c>
      <c r="F86" s="37">
        <v>1</v>
      </c>
      <c r="G86" s="46">
        <v>214238.35369017418</v>
      </c>
      <c r="H86" s="36"/>
    </row>
    <row r="87" spans="2:8" x14ac:dyDescent="0.2">
      <c r="B87" s="37"/>
      <c r="C87" s="36" t="s">
        <v>136</v>
      </c>
      <c r="D87" s="7">
        <v>53.403695607484202</v>
      </c>
      <c r="E87" t="s">
        <v>139</v>
      </c>
      <c r="F87" s="37">
        <v>1</v>
      </c>
      <c r="G87" s="46">
        <v>112595.95623464807</v>
      </c>
      <c r="H87" s="36"/>
    </row>
    <row r="88" spans="2:8" x14ac:dyDescent="0.2">
      <c r="B88" s="37"/>
      <c r="C88" s="36" t="s">
        <v>135</v>
      </c>
      <c r="D88" s="8">
        <v>2291.942917717126</v>
      </c>
      <c r="E88" t="s">
        <v>139</v>
      </c>
      <c r="F88" s="37">
        <v>1</v>
      </c>
      <c r="G88" s="46">
        <v>4311379.3822980542</v>
      </c>
      <c r="H88" s="36"/>
    </row>
    <row r="89" spans="2:8" x14ac:dyDescent="0.2">
      <c r="B89" s="37"/>
      <c r="C89" s="36" t="s">
        <v>134</v>
      </c>
      <c r="D89" s="8">
        <v>1881.1545648421104</v>
      </c>
      <c r="E89" t="s">
        <v>139</v>
      </c>
      <c r="F89" s="37">
        <v>1</v>
      </c>
      <c r="G89" s="46">
        <v>5279897.3723908914</v>
      </c>
      <c r="H89" s="36"/>
    </row>
    <row r="90" spans="2:8" x14ac:dyDescent="0.2">
      <c r="B90" s="37" t="s">
        <v>168</v>
      </c>
      <c r="C90" s="36"/>
      <c r="F90" s="37"/>
      <c r="G90" s="37"/>
      <c r="H90" s="36"/>
    </row>
    <row r="91" spans="2:8" x14ac:dyDescent="0.2">
      <c r="B91" s="37"/>
      <c r="C91" s="36" t="s">
        <v>181</v>
      </c>
      <c r="F91" s="37"/>
      <c r="G91" s="46">
        <v>2142589.9023093018</v>
      </c>
      <c r="H91" s="36"/>
    </row>
    <row r="92" spans="2:8" x14ac:dyDescent="0.2">
      <c r="B92" s="37"/>
      <c r="C92" s="36" t="s">
        <v>167</v>
      </c>
      <c r="D92" s="8">
        <v>11226</v>
      </c>
      <c r="E92" t="s">
        <v>182</v>
      </c>
      <c r="F92" s="37"/>
      <c r="G92" s="46">
        <v>11426674.988002198</v>
      </c>
      <c r="H92" s="36"/>
    </row>
    <row r="93" spans="2:8" x14ac:dyDescent="0.2">
      <c r="B93" s="37"/>
      <c r="C93" s="36" t="s">
        <v>194</v>
      </c>
      <c r="F93" s="37"/>
      <c r="G93" s="46">
        <v>3162503.2180382353</v>
      </c>
      <c r="H93" s="36"/>
    </row>
    <row r="94" spans="2:8" x14ac:dyDescent="0.2">
      <c r="B94" s="39"/>
      <c r="C94" s="41" t="s">
        <v>195</v>
      </c>
      <c r="D94" s="39"/>
      <c r="E94" s="41"/>
      <c r="F94" s="39"/>
      <c r="G94" s="47">
        <v>10947581.7235881</v>
      </c>
      <c r="H94" s="40"/>
    </row>
    <row r="95" spans="2:8" x14ac:dyDescent="0.2">
      <c r="B95" s="37" t="s">
        <v>155</v>
      </c>
      <c r="G95" s="50">
        <f>SUM(G64:G94)</f>
        <v>152870883.60785607</v>
      </c>
      <c r="H95" s="36"/>
    </row>
    <row r="96" spans="2:8" x14ac:dyDescent="0.2">
      <c r="B96" s="37" t="s">
        <v>187</v>
      </c>
      <c r="G96" s="46">
        <f>G95/581.8*615.9</f>
        <v>161830830.55015221</v>
      </c>
      <c r="H96" s="36"/>
    </row>
    <row r="97" spans="2:8" x14ac:dyDescent="0.2">
      <c r="B97" s="39" t="s">
        <v>188</v>
      </c>
      <c r="C97" s="41"/>
      <c r="D97" s="41"/>
      <c r="E97" s="41"/>
      <c r="F97" s="41"/>
      <c r="G97" s="47">
        <v>631001365</v>
      </c>
      <c r="H97" s="40"/>
    </row>
    <row r="99" spans="2:8" x14ac:dyDescent="0.2">
      <c r="B99" s="43" t="s">
        <v>80</v>
      </c>
      <c r="C99" s="44"/>
      <c r="D99" s="43" t="s">
        <v>148</v>
      </c>
      <c r="E99" s="44"/>
      <c r="F99" s="44"/>
      <c r="G99" s="43" t="s">
        <v>188</v>
      </c>
      <c r="H99" s="45"/>
    </row>
    <row r="100" spans="2:8" x14ac:dyDescent="0.2">
      <c r="B100" s="38"/>
      <c r="C100" s="18"/>
      <c r="D100" s="51">
        <v>33824</v>
      </c>
      <c r="E100" s="18" t="s">
        <v>139</v>
      </c>
      <c r="F100" s="18"/>
      <c r="G100" s="49">
        <v>69545613</v>
      </c>
      <c r="H100" s="42"/>
    </row>
    <row r="102" spans="2:8" x14ac:dyDescent="0.2">
      <c r="B102">
        <v>1</v>
      </c>
      <c r="C102" t="s">
        <v>152</v>
      </c>
    </row>
    <row r="103" spans="2:8" x14ac:dyDescent="0.2">
      <c r="B103">
        <v>2</v>
      </c>
      <c r="C103" t="s">
        <v>151</v>
      </c>
    </row>
    <row r="104" spans="2:8" x14ac:dyDescent="0.2">
      <c r="B104">
        <v>3</v>
      </c>
      <c r="C104" t="s">
        <v>153</v>
      </c>
    </row>
    <row r="105" spans="2:8" x14ac:dyDescent="0.2">
      <c r="B105" s="15" t="s">
        <v>173</v>
      </c>
      <c r="C105" t="s">
        <v>180</v>
      </c>
    </row>
    <row r="106" spans="2:8" x14ac:dyDescent="0.2">
      <c r="B106" s="15" t="s">
        <v>179</v>
      </c>
      <c r="C106" t="s">
        <v>198</v>
      </c>
    </row>
    <row r="107" spans="2:8" x14ac:dyDescent="0.2">
      <c r="B107" s="15" t="s">
        <v>197</v>
      </c>
      <c r="C107" t="s">
        <v>174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6160-F6FA-4F97-ABB9-A1E957D383D7}">
  <dimension ref="B2:AA108"/>
  <sheetViews>
    <sheetView topLeftCell="B2" zoomScale="295" zoomScaleNormal="295" workbookViewId="0">
      <selection activeCell="B2" sqref="B2"/>
    </sheetView>
  </sheetViews>
  <sheetFormatPr baseColWidth="10" defaultColWidth="8.83203125" defaultRowHeight="15" x14ac:dyDescent="0.2"/>
  <cols>
    <col min="2" max="2" width="3.1640625" customWidth="1"/>
    <col min="3" max="3" width="30" customWidth="1"/>
    <col min="4" max="6" width="11.6640625" customWidth="1"/>
    <col min="7" max="8" width="12.83203125" customWidth="1"/>
    <col min="9" max="9" width="12.33203125" customWidth="1"/>
    <col min="10" max="10" width="13.1640625" customWidth="1"/>
    <col min="11" max="27" width="11.6640625" customWidth="1"/>
  </cols>
  <sheetData>
    <row r="2" spans="2:2" x14ac:dyDescent="0.2">
      <c r="B2" s="1" t="s">
        <v>285</v>
      </c>
    </row>
    <row r="22" spans="2:27" x14ac:dyDescent="0.2">
      <c r="B22" s="1" t="s">
        <v>0</v>
      </c>
      <c r="D22" t="s">
        <v>16</v>
      </c>
      <c r="M22" t="s">
        <v>17</v>
      </c>
      <c r="O22">
        <v>0.93600000000000005</v>
      </c>
    </row>
    <row r="24" spans="2:27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55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</row>
    <row r="25" spans="2:27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57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x14ac:dyDescent="0.2">
      <c r="C26" s="3" t="s">
        <v>2</v>
      </c>
      <c r="D26" s="3">
        <v>8.0999999999999996E-3</v>
      </c>
      <c r="E26" s="3"/>
      <c r="F26" s="3"/>
      <c r="G26" s="3">
        <v>9.4000000000000004E-3</v>
      </c>
      <c r="H26" s="3">
        <f>G26</f>
        <v>9.4000000000000004E-3</v>
      </c>
      <c r="I26" s="3">
        <v>1.0800000000000001E-2</v>
      </c>
      <c r="J26" s="33"/>
      <c r="K26" s="3"/>
      <c r="L26" s="3"/>
      <c r="M26" s="3"/>
      <c r="N26" s="3"/>
      <c r="O26" s="57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0.14510000000000001</v>
      </c>
      <c r="H27" s="3">
        <f>G27</f>
        <v>0.14510000000000001</v>
      </c>
      <c r="I27" s="3">
        <v>1.66E-2</v>
      </c>
      <c r="J27" s="33">
        <v>4.4080000000000001E-2</v>
      </c>
      <c r="K27" s="3">
        <v>0.16450000000000001</v>
      </c>
      <c r="L27" s="3"/>
      <c r="M27" s="3">
        <f>K27</f>
        <v>0.16450000000000001</v>
      </c>
      <c r="N27" s="3">
        <f>M27</f>
        <v>0.16450000000000001</v>
      </c>
      <c r="O27" s="57">
        <v>4.3799999999999999E-2</v>
      </c>
      <c r="P27" s="33">
        <f>J27</f>
        <v>4.4080000000000001E-2</v>
      </c>
      <c r="Q27" s="3">
        <f>N27</f>
        <v>0.16450000000000001</v>
      </c>
      <c r="R27" s="3">
        <f>O27</f>
        <v>4.3799999999999999E-2</v>
      </c>
      <c r="S27" s="3">
        <v>6.1600000000000002E-2</v>
      </c>
      <c r="T27" s="3">
        <v>0.9829</v>
      </c>
      <c r="U27" s="3">
        <v>0.99750000000000005</v>
      </c>
      <c r="V27" s="3"/>
      <c r="W27" s="3"/>
      <c r="X27" s="3"/>
      <c r="Y27" s="3"/>
      <c r="Z27" s="3"/>
      <c r="AA27" s="3"/>
    </row>
    <row r="28" spans="2:27" x14ac:dyDescent="0.2">
      <c r="C28" s="3" t="s">
        <v>129</v>
      </c>
      <c r="D28" s="3"/>
      <c r="E28" s="3"/>
      <c r="F28" s="3"/>
      <c r="G28" s="3"/>
      <c r="H28" s="3"/>
      <c r="I28" s="32"/>
      <c r="J28" s="33">
        <v>0.62970000000000004</v>
      </c>
      <c r="K28" s="3">
        <v>0.54849999999999999</v>
      </c>
      <c r="L28" s="33">
        <v>1</v>
      </c>
      <c r="M28" s="3">
        <f t="shared" ref="M28:M30" si="0">K28</f>
        <v>0.54849999999999999</v>
      </c>
      <c r="N28" s="3">
        <f t="shared" ref="N28:N30" si="1">M28</f>
        <v>0.54849999999999999</v>
      </c>
      <c r="O28" s="33">
        <v>0.63</v>
      </c>
      <c r="P28" s="33">
        <f t="shared" ref="P28:P29" si="2">J28</f>
        <v>0.62970000000000004</v>
      </c>
      <c r="Q28" s="3">
        <f t="shared" ref="Q28:R29" si="3">N28</f>
        <v>0.54849999999999999</v>
      </c>
      <c r="R28" s="33">
        <f t="shared" si="3"/>
        <v>0.63</v>
      </c>
      <c r="S28" s="3">
        <v>5.7599999999999998E-2</v>
      </c>
      <c r="T28" s="3"/>
      <c r="U28" s="3"/>
      <c r="V28" s="3"/>
      <c r="W28" s="3"/>
      <c r="X28" s="3"/>
      <c r="Y28" s="3"/>
      <c r="Z28" s="3"/>
      <c r="AA28" s="3"/>
    </row>
    <row r="29" spans="2:27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9.2999999999999992E-3</v>
      </c>
      <c r="H29" s="3">
        <f>G29</f>
        <v>9.2999999999999992E-3</v>
      </c>
      <c r="I29" s="3">
        <v>1.32E-2</v>
      </c>
      <c r="J29" s="33">
        <v>0.32619999999999999</v>
      </c>
      <c r="K29" s="3">
        <v>0.28689999999999999</v>
      </c>
      <c r="L29" s="3"/>
      <c r="M29" s="3">
        <f t="shared" si="0"/>
        <v>0.28689999999999999</v>
      </c>
      <c r="N29" s="3">
        <f t="shared" si="1"/>
        <v>0.28689999999999999</v>
      </c>
      <c r="O29" s="58">
        <v>0.32619999999999999</v>
      </c>
      <c r="P29" s="33">
        <f t="shared" si="2"/>
        <v>0.32619999999999999</v>
      </c>
      <c r="Q29" s="3">
        <f t="shared" si="3"/>
        <v>0.28689999999999999</v>
      </c>
      <c r="R29" s="3">
        <f t="shared" si="3"/>
        <v>0.32619999999999999</v>
      </c>
      <c r="S29" s="3">
        <v>0.88080000000000003</v>
      </c>
      <c r="T29" s="3">
        <v>1.66E-2</v>
      </c>
      <c r="U29" s="33">
        <v>1.9E-3</v>
      </c>
      <c r="V29" s="33">
        <v>1</v>
      </c>
      <c r="W29" s="33">
        <v>1</v>
      </c>
      <c r="X29" s="3"/>
      <c r="Y29" s="3"/>
      <c r="Z29" s="3"/>
      <c r="AA29" s="3"/>
    </row>
    <row r="30" spans="2:27" x14ac:dyDescent="0.2">
      <c r="C30" s="3" t="s">
        <v>5</v>
      </c>
      <c r="D30" s="3">
        <v>0.68130000000000002</v>
      </c>
      <c r="E30" s="3"/>
      <c r="F30" s="3"/>
      <c r="G30" s="3">
        <v>0.79359999999999997</v>
      </c>
      <c r="H30" s="3">
        <f>G30</f>
        <v>0.79359999999999997</v>
      </c>
      <c r="I30" s="3">
        <v>0.91049999999999998</v>
      </c>
      <c r="J30" s="33"/>
      <c r="K30" s="3">
        <v>1E-4</v>
      </c>
      <c r="L30" s="3"/>
      <c r="M30" s="3">
        <f t="shared" si="0"/>
        <v>1E-4</v>
      </c>
      <c r="N30" s="3">
        <f t="shared" si="1"/>
        <v>1E-4</v>
      </c>
      <c r="O30" s="57"/>
      <c r="P30" s="3"/>
      <c r="Q30" s="3">
        <f>N30</f>
        <v>1E-4</v>
      </c>
      <c r="R30" s="3"/>
      <c r="S30" s="3"/>
      <c r="T30" s="3">
        <v>5.0000000000000001E-4</v>
      </c>
      <c r="U30" s="3">
        <v>5.0000000000000001E-4</v>
      </c>
      <c r="V30" s="3"/>
      <c r="W30" s="3"/>
      <c r="X30" s="3"/>
      <c r="Y30" s="3"/>
      <c r="Z30" s="3"/>
      <c r="AA30" s="3"/>
    </row>
    <row r="31" spans="2:27" x14ac:dyDescent="0.2">
      <c r="C31" s="3" t="s">
        <v>6</v>
      </c>
      <c r="D31" s="3"/>
      <c r="E31" s="3"/>
      <c r="F31" s="3"/>
      <c r="G31" s="3"/>
      <c r="H31" s="3"/>
      <c r="I31" s="3"/>
      <c r="J31" s="33"/>
      <c r="K31" s="3"/>
      <c r="L31" s="3"/>
      <c r="M31" s="3"/>
      <c r="N31" s="3"/>
      <c r="O31" s="57"/>
      <c r="P31" s="3"/>
      <c r="Q31" s="3"/>
      <c r="R31" s="3"/>
      <c r="S31" s="3"/>
      <c r="T31" s="3"/>
      <c r="U31" s="3"/>
      <c r="V31" s="3"/>
      <c r="W31" s="3"/>
      <c r="X31" s="33">
        <v>1</v>
      </c>
      <c r="Y31" s="33">
        <v>1</v>
      </c>
      <c r="Z31" s="33">
        <v>1</v>
      </c>
      <c r="AA31" s="33">
        <v>1</v>
      </c>
    </row>
    <row r="32" spans="2:27" x14ac:dyDescent="0.2">
      <c r="C32" s="3" t="s">
        <v>7</v>
      </c>
      <c r="D32" s="3">
        <v>3.6600000000000001E-2</v>
      </c>
      <c r="E32" s="3"/>
      <c r="F32" s="3"/>
      <c r="G32" s="3">
        <v>4.2599999999999999E-2</v>
      </c>
      <c r="H32" s="3">
        <f>G32</f>
        <v>4.2599999999999999E-2</v>
      </c>
      <c r="I32" s="3">
        <v>4.8899999999999999E-2</v>
      </c>
      <c r="J32" s="33"/>
      <c r="K32" s="3"/>
      <c r="L32" s="3"/>
      <c r="M32" s="3"/>
      <c r="N32" s="3"/>
      <c r="O32" s="57"/>
      <c r="P32" s="3"/>
      <c r="Q32" s="3"/>
      <c r="R32" s="3"/>
      <c r="S32" s="3"/>
      <c r="T32" s="3"/>
      <c r="U32" s="3">
        <v>1E-4</v>
      </c>
      <c r="V32" s="3"/>
      <c r="W32" s="3"/>
      <c r="X32" s="3"/>
      <c r="Y32" s="3"/>
      <c r="Z32" s="3"/>
      <c r="AA32" s="3"/>
    </row>
    <row r="33" spans="2:27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33"/>
      <c r="O33" s="58"/>
      <c r="P33" s="33"/>
      <c r="Q33" s="33"/>
      <c r="R33" s="33"/>
      <c r="S33" s="33"/>
      <c r="T33" s="33"/>
      <c r="U33" s="33"/>
      <c r="V33" s="33"/>
      <c r="W33" s="33"/>
      <c r="X33" s="3"/>
      <c r="Y33" s="3"/>
      <c r="Z33" s="3"/>
      <c r="AA33" s="3"/>
    </row>
    <row r="34" spans="2:27" x14ac:dyDescent="0.2">
      <c r="C34" s="3" t="s">
        <v>8</v>
      </c>
      <c r="D34" s="31">
        <f>116568*O22</f>
        <v>109107.648</v>
      </c>
      <c r="E34" s="31">
        <f>2401.3*O22</f>
        <v>2247.6168000000002</v>
      </c>
      <c r="F34" s="31">
        <f>O22*14087.3</f>
        <v>13185.712799999999</v>
      </c>
      <c r="G34" s="31">
        <f>100079*O22</f>
        <v>93673.944000000003</v>
      </c>
      <c r="H34" s="31">
        <f>G34</f>
        <v>93673.944000000003</v>
      </c>
      <c r="I34" s="31">
        <f>87219*O22</f>
        <v>81636.984000000011</v>
      </c>
      <c r="J34" s="31">
        <f>90144.3*O22</f>
        <v>84375.064800000007</v>
      </c>
      <c r="K34" s="31">
        <f>103467*O22</f>
        <v>96845.112000000008</v>
      </c>
      <c r="L34" s="31">
        <f>L35/L41</f>
        <v>1.0193221870763669</v>
      </c>
      <c r="M34" s="31">
        <f>K34</f>
        <v>96845.112000000008</v>
      </c>
      <c r="N34" s="31">
        <f>93120*O22</f>
        <v>87160.320000000007</v>
      </c>
      <c r="O34" s="59">
        <f>90069.3*O22</f>
        <v>84304.86480000001</v>
      </c>
      <c r="P34" s="31">
        <f>J34</f>
        <v>84375.064800000007</v>
      </c>
      <c r="Q34" s="31">
        <f>10346.7*O22</f>
        <v>9684.5112000000008</v>
      </c>
      <c r="R34" s="31">
        <f>O34</f>
        <v>84304.86480000001</v>
      </c>
      <c r="S34" s="31">
        <f>96.9*O22</f>
        <v>90.698400000000007</v>
      </c>
      <c r="T34" s="31">
        <f>13300*O22</f>
        <v>12448.800000000001</v>
      </c>
      <c r="U34" s="31">
        <f>13105*O22</f>
        <v>12266.28</v>
      </c>
      <c r="V34" s="31">
        <f>29815.9*O22</f>
        <v>27907.682400000002</v>
      </c>
      <c r="W34" s="31">
        <f>V34</f>
        <v>27907.682400000002</v>
      </c>
      <c r="X34" s="31">
        <f>9771.8*O22</f>
        <v>9146.4048000000003</v>
      </c>
      <c r="Y34" s="31">
        <f>X34</f>
        <v>9146.4048000000003</v>
      </c>
      <c r="Z34" s="31">
        <f t="shared" ref="Z34:AA35" si="4">Y34</f>
        <v>9146.4048000000003</v>
      </c>
      <c r="AA34" s="31">
        <f t="shared" si="4"/>
        <v>9146.4048000000003</v>
      </c>
    </row>
    <row r="35" spans="2:27" x14ac:dyDescent="0.2">
      <c r="C35" s="3" t="s">
        <v>9</v>
      </c>
      <c r="D35" s="31">
        <f>3351890*O22</f>
        <v>3137369.04</v>
      </c>
      <c r="E35" s="31">
        <f>43270*O22</f>
        <v>40500.720000000001</v>
      </c>
      <c r="F35" s="31">
        <f>O22*253821</f>
        <v>237576.45600000001</v>
      </c>
      <c r="G35" s="31">
        <f>3054800*O22</f>
        <v>2859292.8000000003</v>
      </c>
      <c r="H35" s="31">
        <f>G35</f>
        <v>2859292.8000000003</v>
      </c>
      <c r="I35" s="31">
        <f>2483260*O22</f>
        <v>2324331.3600000003</v>
      </c>
      <c r="J35" s="31">
        <f>13267100*O22</f>
        <v>12418005.600000001</v>
      </c>
      <c r="K35" s="31">
        <f>13843300*O22</f>
        <v>12957328.800000001</v>
      </c>
      <c r="L35" s="31">
        <f>241*O22</f>
        <v>225.57600000000002</v>
      </c>
      <c r="M35" s="31">
        <f>K35</f>
        <v>12957328.800000001</v>
      </c>
      <c r="N35" s="31">
        <f>12459000*O22</f>
        <v>11661624</v>
      </c>
      <c r="O35" s="59">
        <f>13260800*O22</f>
        <v>12412108.800000001</v>
      </c>
      <c r="P35" s="31">
        <f>J35</f>
        <v>12418005.600000001</v>
      </c>
      <c r="Q35" s="31">
        <f>1384330*O22</f>
        <v>1295732.8800000001</v>
      </c>
      <c r="R35" s="31">
        <f>O35</f>
        <v>12412108.800000001</v>
      </c>
      <c r="S35" s="31">
        <f>3033.9*O22</f>
        <v>2839.7304000000004</v>
      </c>
      <c r="T35" s="31">
        <f>579511*O22</f>
        <v>542422.29600000009</v>
      </c>
      <c r="U35" s="31">
        <f>575992*O22</f>
        <v>539128.51199999999</v>
      </c>
      <c r="V35" s="31">
        <f>537142*O22</f>
        <v>502764.91200000001</v>
      </c>
      <c r="W35" s="31">
        <f>V35</f>
        <v>502764.91200000001</v>
      </c>
      <c r="X35" s="31">
        <f>166419*O22</f>
        <v>155768.18400000001</v>
      </c>
      <c r="Y35" s="31">
        <f>X35</f>
        <v>155768.18400000001</v>
      </c>
      <c r="Z35" s="31">
        <f t="shared" si="4"/>
        <v>155768.18400000001</v>
      </c>
      <c r="AA35" s="31">
        <f t="shared" si="4"/>
        <v>155768.18400000001</v>
      </c>
    </row>
    <row r="36" spans="2:2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5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">
      <c r="C37" s="3" t="s">
        <v>10</v>
      </c>
      <c r="D37" s="3">
        <v>56.2</v>
      </c>
      <c r="E37" s="3">
        <v>6</v>
      </c>
      <c r="F37" s="3">
        <v>25.6</v>
      </c>
      <c r="G37" s="3">
        <v>6</v>
      </c>
      <c r="H37" s="3">
        <v>14.2</v>
      </c>
      <c r="I37" s="3">
        <v>11.8</v>
      </c>
      <c r="J37" s="3">
        <v>23.9</v>
      </c>
      <c r="K37" s="3">
        <v>34</v>
      </c>
      <c r="L37" s="3">
        <v>23.9</v>
      </c>
      <c r="M37" s="3">
        <v>34.1</v>
      </c>
      <c r="N37" s="3">
        <v>87.8</v>
      </c>
      <c r="O37" s="57">
        <v>103.4</v>
      </c>
      <c r="P37" s="3">
        <v>39.1</v>
      </c>
      <c r="Q37" s="3">
        <f>M37</f>
        <v>34.1</v>
      </c>
      <c r="R37" s="3">
        <v>103.3</v>
      </c>
      <c r="S37" s="3">
        <v>25.7</v>
      </c>
      <c r="T37" s="3">
        <v>25.6</v>
      </c>
      <c r="U37" s="3">
        <v>44.1</v>
      </c>
      <c r="V37" s="3">
        <v>169.6</v>
      </c>
      <c r="W37" s="3">
        <v>113.3</v>
      </c>
      <c r="X37" s="3">
        <v>3</v>
      </c>
      <c r="Y37" s="3">
        <v>60</v>
      </c>
      <c r="Z37" s="3">
        <v>26</v>
      </c>
      <c r="AA37" s="3">
        <v>2.5</v>
      </c>
    </row>
    <row r="38" spans="2:27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1.02</v>
      </c>
      <c r="J38" s="3">
        <v>1.37</v>
      </c>
      <c r="K38" s="3">
        <v>1.1000000000000001</v>
      </c>
      <c r="L38" s="3">
        <v>1.5</v>
      </c>
      <c r="M38" s="3">
        <v>6.5</v>
      </c>
      <c r="N38" s="3">
        <v>6</v>
      </c>
      <c r="O38" s="57">
        <v>6</v>
      </c>
      <c r="P38" s="3">
        <v>1.38</v>
      </c>
      <c r="Q38" s="3">
        <f t="shared" ref="Q38:Q41" si="5">M38</f>
        <v>6.5</v>
      </c>
      <c r="R38" s="3">
        <v>1.8</v>
      </c>
      <c r="S38" s="3">
        <v>5.4</v>
      </c>
      <c r="T38" s="3">
        <v>1.8</v>
      </c>
      <c r="U38" s="3">
        <v>152.69999999999999</v>
      </c>
      <c r="V38" s="3">
        <v>1.8</v>
      </c>
      <c r="W38" s="3">
        <v>1.6</v>
      </c>
      <c r="X38" s="3">
        <v>4.7</v>
      </c>
      <c r="Y38" s="3">
        <v>10.5</v>
      </c>
      <c r="Z38" s="3">
        <v>10.5</v>
      </c>
      <c r="AA38" s="3">
        <v>4.7</v>
      </c>
    </row>
    <row r="39" spans="2:27" x14ac:dyDescent="0.2">
      <c r="C39" s="3" t="s">
        <v>12</v>
      </c>
      <c r="D39" s="34">
        <v>-2959</v>
      </c>
      <c r="E39" s="34">
        <v>-15952</v>
      </c>
      <c r="F39" s="34">
        <v>-15872</v>
      </c>
      <c r="G39" s="34">
        <v>-1965</v>
      </c>
      <c r="H39" s="34">
        <v>-1957</v>
      </c>
      <c r="I39" s="34">
        <v>-356.2</v>
      </c>
      <c r="J39" s="34">
        <v>-2951</v>
      </c>
      <c r="K39" s="34">
        <v>-3261</v>
      </c>
      <c r="L39" s="34">
        <v>-2290.6</v>
      </c>
      <c r="M39" s="34">
        <v>-3260.4</v>
      </c>
      <c r="N39" s="34">
        <v>-3095</v>
      </c>
      <c r="O39" s="60">
        <v>-2762</v>
      </c>
      <c r="P39" s="34">
        <v>-2918</v>
      </c>
      <c r="Q39" s="3">
        <f t="shared" si="5"/>
        <v>-3260.4</v>
      </c>
      <c r="R39" s="34">
        <v>-2762.4</v>
      </c>
      <c r="S39" s="34">
        <v>-9935.2999999999993</v>
      </c>
      <c r="T39" s="34">
        <v>-8976</v>
      </c>
      <c r="U39" s="34">
        <v>-9156</v>
      </c>
      <c r="V39" s="34">
        <v>-13171</v>
      </c>
      <c r="W39" s="34">
        <v>-15505</v>
      </c>
      <c r="X39" s="34">
        <v>-2771.5</v>
      </c>
      <c r="Y39" s="34">
        <v>-2656</v>
      </c>
      <c r="Z39" s="34">
        <v>-3915</v>
      </c>
      <c r="AA39" s="34">
        <v>-3915</v>
      </c>
    </row>
    <row r="40" spans="2:27" x14ac:dyDescent="0.2">
      <c r="C40" s="3" t="s">
        <v>13</v>
      </c>
      <c r="D40" s="3">
        <v>1.1100000000000001</v>
      </c>
      <c r="E40" s="3">
        <v>999.9</v>
      </c>
      <c r="F40" s="3">
        <v>996.8</v>
      </c>
      <c r="G40" s="3">
        <v>1.34</v>
      </c>
      <c r="H40" s="3">
        <v>1.4</v>
      </c>
      <c r="I40" s="3">
        <v>1.2</v>
      </c>
      <c r="J40" s="3">
        <v>1086</v>
      </c>
      <c r="K40" s="3">
        <v>1120.4000000000001</v>
      </c>
      <c r="L40" s="3">
        <v>1072.8</v>
      </c>
      <c r="M40" s="3">
        <v>1120.2</v>
      </c>
      <c r="N40" s="3">
        <v>1026</v>
      </c>
      <c r="O40" s="57">
        <v>1001.8</v>
      </c>
      <c r="P40" s="3">
        <v>1071.5</v>
      </c>
      <c r="Q40" s="3">
        <f t="shared" si="5"/>
        <v>1120.2</v>
      </c>
      <c r="R40" s="3">
        <v>1001.9</v>
      </c>
      <c r="S40" s="3">
        <v>1173.3</v>
      </c>
      <c r="T40" s="3">
        <v>3.17</v>
      </c>
      <c r="U40" s="3">
        <v>489.3</v>
      </c>
      <c r="V40" s="3">
        <v>0.9</v>
      </c>
      <c r="W40" s="3">
        <v>948.4</v>
      </c>
      <c r="X40" s="3">
        <v>3.75</v>
      </c>
      <c r="Y40" s="3">
        <v>6.97</v>
      </c>
      <c r="Z40" s="3">
        <v>601.6</v>
      </c>
      <c r="AA40" s="3">
        <v>40.200000000000003</v>
      </c>
    </row>
    <row r="41" spans="2:27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30.5</v>
      </c>
      <c r="H41" s="3">
        <f>G41</f>
        <v>30.5</v>
      </c>
      <c r="I41" s="3">
        <v>28.46</v>
      </c>
      <c r="J41" s="3">
        <v>147.19999999999999</v>
      </c>
      <c r="K41" s="3">
        <v>133.80000000000001</v>
      </c>
      <c r="L41" s="3">
        <v>221.3</v>
      </c>
      <c r="M41" s="3">
        <v>133.80000000000001</v>
      </c>
      <c r="N41" s="3">
        <v>133.80000000000001</v>
      </c>
      <c r="O41" s="57">
        <v>147.19999999999999</v>
      </c>
      <c r="P41" s="3">
        <v>147.19999999999999</v>
      </c>
      <c r="Q41" s="3">
        <f t="shared" si="5"/>
        <v>133.80000000000001</v>
      </c>
      <c r="R41" s="3">
        <f>O41</f>
        <v>147.19999999999999</v>
      </c>
      <c r="S41" s="3">
        <v>31.3</v>
      </c>
      <c r="T41" s="3">
        <v>43.57</v>
      </c>
      <c r="U41" s="3">
        <v>43.95</v>
      </c>
      <c r="V41" s="3">
        <v>18.02</v>
      </c>
      <c r="W41" s="3">
        <v>18.02</v>
      </c>
      <c r="X41" s="3">
        <v>17.03</v>
      </c>
      <c r="Y41" s="3">
        <v>17.03</v>
      </c>
      <c r="Z41" s="3">
        <v>17.03</v>
      </c>
      <c r="AA41" s="3">
        <v>17.03</v>
      </c>
    </row>
    <row r="43" spans="2:27" x14ac:dyDescent="0.2">
      <c r="B43" s="1" t="s">
        <v>132</v>
      </c>
      <c r="D43" t="s">
        <v>199</v>
      </c>
    </row>
    <row r="45" spans="2:27" x14ac:dyDescent="0.2">
      <c r="C45" s="53" t="s">
        <v>138</v>
      </c>
      <c r="D45" s="18"/>
      <c r="E45" s="42"/>
    </row>
    <row r="46" spans="2:27" x14ac:dyDescent="0.2">
      <c r="C46" s="37" t="s">
        <v>133</v>
      </c>
      <c r="D46" s="7">
        <f>6402*O22</f>
        <v>5992.2719999999999</v>
      </c>
      <c r="E46" s="36" t="s">
        <v>139</v>
      </c>
    </row>
    <row r="47" spans="2:27" x14ac:dyDescent="0.2">
      <c r="C47" s="37" t="s">
        <v>134</v>
      </c>
      <c r="D47" s="7">
        <f>D90</f>
        <v>1665.6640326524162</v>
      </c>
      <c r="E47" s="36" t="s">
        <v>139</v>
      </c>
    </row>
    <row r="48" spans="2:27" x14ac:dyDescent="0.2">
      <c r="C48" s="37" t="s">
        <v>135</v>
      </c>
      <c r="D48" s="7">
        <f>D89</f>
        <v>2020.9276795549115</v>
      </c>
      <c r="E48" s="36" t="s">
        <v>139</v>
      </c>
    </row>
    <row r="49" spans="2:8" x14ac:dyDescent="0.2">
      <c r="C49" s="37" t="s">
        <v>136</v>
      </c>
      <c r="D49" s="7">
        <f>D88</f>
        <v>107.85320886543181</v>
      </c>
      <c r="E49" s="36" t="s">
        <v>139</v>
      </c>
    </row>
    <row r="50" spans="2:8" x14ac:dyDescent="0.2">
      <c r="C50" s="37" t="s">
        <v>172</v>
      </c>
      <c r="D50" s="7">
        <f>D91</f>
        <v>2.2636273566464609</v>
      </c>
      <c r="E50" s="36" t="s">
        <v>139</v>
      </c>
    </row>
    <row r="51" spans="2:8" x14ac:dyDescent="0.2">
      <c r="C51" s="37" t="s">
        <v>137</v>
      </c>
      <c r="D51" s="7">
        <f>D65</f>
        <v>6425</v>
      </c>
      <c r="E51" s="36" t="s">
        <v>139</v>
      </c>
    </row>
    <row r="52" spans="2:8" x14ac:dyDescent="0.2">
      <c r="C52" s="39" t="s">
        <v>141</v>
      </c>
      <c r="D52" s="52">
        <f>D102</f>
        <v>41309</v>
      </c>
      <c r="E52" s="40" t="s">
        <v>139</v>
      </c>
    </row>
    <row r="54" spans="2:8" x14ac:dyDescent="0.2">
      <c r="C54" s="53" t="s">
        <v>140</v>
      </c>
      <c r="D54" s="18"/>
      <c r="E54" s="42"/>
    </row>
    <row r="55" spans="2:8" x14ac:dyDescent="0.2">
      <c r="C55" s="37" t="s">
        <v>144</v>
      </c>
      <c r="D55" s="35">
        <f>(209.5+3.9)*O22</f>
        <v>199.7424</v>
      </c>
      <c r="E55" s="36" t="s">
        <v>142</v>
      </c>
    </row>
    <row r="56" spans="2:8" x14ac:dyDescent="0.2">
      <c r="C56" s="37" t="s">
        <v>143</v>
      </c>
      <c r="D56" s="35">
        <f>D69+D70</f>
        <v>692.94619472773275</v>
      </c>
      <c r="E56" s="36" t="s">
        <v>142</v>
      </c>
    </row>
    <row r="57" spans="2:8" x14ac:dyDescent="0.2">
      <c r="C57" s="37" t="s">
        <v>145</v>
      </c>
      <c r="D57" s="35">
        <f>D72</f>
        <v>419.58725273840827</v>
      </c>
      <c r="E57" s="36" t="s">
        <v>142</v>
      </c>
    </row>
    <row r="58" spans="2:8" x14ac:dyDescent="0.2">
      <c r="C58" s="37" t="s">
        <v>146</v>
      </c>
      <c r="D58" s="35">
        <f>D74</f>
        <v>35.854957117092894</v>
      </c>
      <c r="E58" s="36" t="s">
        <v>142</v>
      </c>
    </row>
    <row r="59" spans="2:8" x14ac:dyDescent="0.2">
      <c r="C59" s="39" t="s">
        <v>147</v>
      </c>
      <c r="D59" s="54">
        <f>D67</f>
        <v>682.92927459319242</v>
      </c>
      <c r="E59" s="40" t="s">
        <v>142</v>
      </c>
    </row>
    <row r="61" spans="2:8" x14ac:dyDescent="0.2">
      <c r="B61" s="1" t="s">
        <v>150</v>
      </c>
    </row>
    <row r="63" spans="2:8" x14ac:dyDescent="0.2">
      <c r="B63" s="43" t="s">
        <v>189</v>
      </c>
      <c r="C63" s="44"/>
      <c r="D63" s="43" t="s">
        <v>148</v>
      </c>
      <c r="E63" s="44"/>
      <c r="F63" s="43" t="s">
        <v>154</v>
      </c>
      <c r="G63" s="43" t="s">
        <v>169</v>
      </c>
      <c r="H63" s="45"/>
    </row>
    <row r="64" spans="2:8" x14ac:dyDescent="0.2">
      <c r="B64" s="37" t="s">
        <v>149</v>
      </c>
      <c r="C64" s="36"/>
      <c r="F64" s="37"/>
      <c r="G64" s="37"/>
      <c r="H64" s="36"/>
    </row>
    <row r="65" spans="2:8" x14ac:dyDescent="0.2">
      <c r="B65" s="37"/>
      <c r="C65" s="36" t="s">
        <v>137</v>
      </c>
      <c r="D65" s="15">
        <v>6425</v>
      </c>
      <c r="E65" t="s">
        <v>139</v>
      </c>
      <c r="F65" s="37"/>
      <c r="G65" s="46">
        <v>9504034.2551100291</v>
      </c>
      <c r="H65" s="36"/>
    </row>
    <row r="66" spans="2:8" x14ac:dyDescent="0.2">
      <c r="B66" s="37" t="s">
        <v>156</v>
      </c>
      <c r="C66" s="36"/>
      <c r="D66" s="15"/>
      <c r="F66" s="37"/>
      <c r="G66" s="37"/>
      <c r="H66" s="36"/>
    </row>
    <row r="67" spans="2:8" x14ac:dyDescent="0.2">
      <c r="B67" s="37"/>
      <c r="C67" s="36" t="s">
        <v>147</v>
      </c>
      <c r="D67" s="48">
        <v>682.92927459319242</v>
      </c>
      <c r="E67" t="s">
        <v>142</v>
      </c>
      <c r="F67" s="37"/>
      <c r="G67" s="46">
        <v>9388292.6569773424</v>
      </c>
      <c r="H67" s="36"/>
    </row>
    <row r="68" spans="2:8" x14ac:dyDescent="0.2">
      <c r="B68" s="37"/>
      <c r="C68" s="36" t="s">
        <v>170</v>
      </c>
      <c r="D68" s="48">
        <v>157.64947202398025</v>
      </c>
      <c r="E68" t="s">
        <v>142</v>
      </c>
      <c r="F68" s="37"/>
      <c r="G68" s="46">
        <v>400270.68941259157</v>
      </c>
      <c r="H68" s="36"/>
    </row>
    <row r="69" spans="2:8" x14ac:dyDescent="0.2">
      <c r="B69" s="37"/>
      <c r="C69" s="36" t="s">
        <v>157</v>
      </c>
      <c r="D69" s="48">
        <v>286.55880870867196</v>
      </c>
      <c r="E69" t="s">
        <v>142</v>
      </c>
      <c r="F69" s="37"/>
      <c r="G69" s="46">
        <v>3294420.6538164038</v>
      </c>
      <c r="H69" s="36"/>
    </row>
    <row r="70" spans="2:8" x14ac:dyDescent="0.2">
      <c r="B70" s="37"/>
      <c r="C70" s="36" t="s">
        <v>158</v>
      </c>
      <c r="D70" s="48">
        <v>406.38738601906078</v>
      </c>
      <c r="E70" t="s">
        <v>142</v>
      </c>
      <c r="F70" s="37"/>
      <c r="G70" s="46">
        <v>4553285.2329668766</v>
      </c>
      <c r="H70" s="36"/>
    </row>
    <row r="71" spans="2:8" x14ac:dyDescent="0.2">
      <c r="B71" s="37"/>
      <c r="C71" s="36" t="s">
        <v>159</v>
      </c>
      <c r="D71" s="48">
        <v>1924.74652304812</v>
      </c>
      <c r="E71" t="s">
        <v>142</v>
      </c>
      <c r="F71" s="37"/>
      <c r="G71" s="46">
        <v>28843561.383053772</v>
      </c>
      <c r="H71" s="36"/>
    </row>
    <row r="72" spans="2:8" x14ac:dyDescent="0.2">
      <c r="B72" s="37"/>
      <c r="C72" s="36" t="s">
        <v>171</v>
      </c>
      <c r="D72" s="48">
        <v>419.58725273840827</v>
      </c>
      <c r="E72" t="s">
        <v>142</v>
      </c>
      <c r="F72" s="37"/>
      <c r="G72" s="46">
        <v>6442078.130099332</v>
      </c>
      <c r="H72" s="36"/>
    </row>
    <row r="73" spans="2:8" x14ac:dyDescent="0.2">
      <c r="B73" s="37"/>
      <c r="C73" s="36" t="s">
        <v>160</v>
      </c>
      <c r="D73" s="48">
        <v>1173.7583611856678</v>
      </c>
      <c r="E73" t="s">
        <v>142</v>
      </c>
      <c r="F73" s="37"/>
      <c r="G73" s="46">
        <v>13603659.640161537</v>
      </c>
      <c r="H73" s="36"/>
    </row>
    <row r="74" spans="2:8" x14ac:dyDescent="0.2">
      <c r="B74" s="37"/>
      <c r="C74" s="36" t="s">
        <v>146</v>
      </c>
      <c r="D74" s="48">
        <v>35.854957117092894</v>
      </c>
      <c r="E74" t="s">
        <v>142</v>
      </c>
      <c r="F74" s="37"/>
      <c r="G74" s="46">
        <v>104012.91130726495</v>
      </c>
      <c r="H74" s="36"/>
    </row>
    <row r="75" spans="2:8" x14ac:dyDescent="0.2">
      <c r="B75" s="37"/>
      <c r="C75" s="36" t="s">
        <v>161</v>
      </c>
      <c r="D75" s="48">
        <f>22*O22</f>
        <v>20.592000000000002</v>
      </c>
      <c r="E75" t="s">
        <v>142</v>
      </c>
      <c r="F75" s="37"/>
      <c r="G75" s="46">
        <v>70263</v>
      </c>
      <c r="H75" s="36"/>
    </row>
    <row r="76" spans="2:8" x14ac:dyDescent="0.2">
      <c r="B76" s="37" t="s">
        <v>183</v>
      </c>
      <c r="C76" s="36"/>
      <c r="F76" s="37"/>
      <c r="G76" s="37"/>
      <c r="H76" s="36"/>
    </row>
    <row r="77" spans="2:8" x14ac:dyDescent="0.2">
      <c r="B77" s="37"/>
      <c r="C77" s="36" t="s">
        <v>184</v>
      </c>
      <c r="D77" s="48">
        <f>19.6*O22^0.5</f>
        <v>18.96243022399819</v>
      </c>
      <c r="E77" t="s">
        <v>176</v>
      </c>
      <c r="F77" s="37"/>
      <c r="G77" s="46">
        <v>16877943.478526179</v>
      </c>
      <c r="H77" s="36"/>
    </row>
    <row r="78" spans="2:8" x14ac:dyDescent="0.2">
      <c r="B78" s="37"/>
      <c r="C78" s="36"/>
      <c r="D78" s="35">
        <v>16</v>
      </c>
      <c r="E78" t="s">
        <v>175</v>
      </c>
      <c r="F78" s="37"/>
      <c r="G78" s="37"/>
      <c r="H78" s="36"/>
    </row>
    <row r="79" spans="2:8" x14ac:dyDescent="0.2">
      <c r="B79" s="37"/>
      <c r="C79" s="36" t="s">
        <v>185</v>
      </c>
      <c r="D79" s="35">
        <f>23.2*O22^0.5</f>
        <v>22.445325571263162</v>
      </c>
      <c r="E79" t="s">
        <v>176</v>
      </c>
      <c r="F79" s="37"/>
      <c r="G79" s="46">
        <v>24827599.646798491</v>
      </c>
      <c r="H79" s="36"/>
    </row>
    <row r="80" spans="2:8" x14ac:dyDescent="0.2">
      <c r="B80" s="37"/>
      <c r="C80" s="36"/>
      <c r="D80" s="35">
        <v>19.8</v>
      </c>
      <c r="E80" t="s">
        <v>175</v>
      </c>
      <c r="F80" s="37"/>
      <c r="G80" s="37"/>
      <c r="H80" s="36"/>
    </row>
    <row r="81" spans="2:8" x14ac:dyDescent="0.2">
      <c r="B81" s="37"/>
      <c r="C81" s="36" t="s">
        <v>186</v>
      </c>
      <c r="D81" s="35">
        <f>12.2*O22^0.5</f>
        <v>11.803145343509076</v>
      </c>
      <c r="E81" t="s">
        <v>176</v>
      </c>
      <c r="F81" s="37"/>
      <c r="G81" s="46">
        <v>9412438.8263256084</v>
      </c>
      <c r="H81" s="36"/>
    </row>
    <row r="82" spans="2:8" x14ac:dyDescent="0.2">
      <c r="B82" s="37"/>
      <c r="C82" s="36"/>
      <c r="D82" s="35">
        <v>12</v>
      </c>
      <c r="E82" t="s">
        <v>175</v>
      </c>
      <c r="F82" s="37"/>
      <c r="G82" s="46"/>
      <c r="H82" s="36"/>
    </row>
    <row r="83" spans="2:8" x14ac:dyDescent="0.2">
      <c r="B83" s="37"/>
      <c r="C83" s="36" t="s">
        <v>162</v>
      </c>
      <c r="F83" s="37"/>
      <c r="G83" s="46">
        <v>385912.50570096483</v>
      </c>
      <c r="H83" s="36"/>
    </row>
    <row r="84" spans="2:8" x14ac:dyDescent="0.2">
      <c r="B84" s="37"/>
      <c r="C84" t="s">
        <v>235</v>
      </c>
      <c r="F84" s="37"/>
      <c r="G84" s="46">
        <v>55579.373392870868</v>
      </c>
      <c r="H84" s="36"/>
    </row>
    <row r="85" spans="2:8" x14ac:dyDescent="0.2">
      <c r="B85" s="37" t="s">
        <v>163</v>
      </c>
      <c r="C85" s="36"/>
      <c r="F85" s="37"/>
      <c r="G85" s="37"/>
      <c r="H85" s="36"/>
    </row>
    <row r="86" spans="2:8" x14ac:dyDescent="0.2">
      <c r="B86" s="37"/>
      <c r="C86" s="36" t="s">
        <v>164</v>
      </c>
      <c r="D86">
        <v>890</v>
      </c>
      <c r="E86" t="s">
        <v>139</v>
      </c>
      <c r="F86" s="37">
        <v>1</v>
      </c>
      <c r="G86" s="46">
        <v>2379227.1430741302</v>
      </c>
      <c r="H86" s="36"/>
    </row>
    <row r="87" spans="2:8" x14ac:dyDescent="0.2">
      <c r="B87" s="37"/>
      <c r="C87" s="36" t="s">
        <v>165</v>
      </c>
      <c r="D87">
        <v>223</v>
      </c>
      <c r="E87" t="s">
        <v>139</v>
      </c>
      <c r="F87" s="37">
        <v>1</v>
      </c>
      <c r="G87" s="46">
        <v>232543.39222848995</v>
      </c>
      <c r="H87" s="36"/>
    </row>
    <row r="88" spans="2:8" x14ac:dyDescent="0.2">
      <c r="B88" s="37"/>
      <c r="C88" s="36" t="s">
        <v>136</v>
      </c>
      <c r="D88" s="8">
        <v>107.85320886543181</v>
      </c>
      <c r="E88" t="s">
        <v>139</v>
      </c>
      <c r="F88" s="37">
        <v>1</v>
      </c>
      <c r="G88" s="46">
        <v>180321.77433032612</v>
      </c>
      <c r="H88" s="36"/>
    </row>
    <row r="89" spans="2:8" x14ac:dyDescent="0.2">
      <c r="B89" s="37"/>
      <c r="C89" s="36" t="s">
        <v>135</v>
      </c>
      <c r="D89" s="8">
        <v>2020.9276795549115</v>
      </c>
      <c r="E89" t="s">
        <v>139</v>
      </c>
      <c r="F89" s="37">
        <v>1</v>
      </c>
      <c r="G89" s="46">
        <v>3962768.607354959</v>
      </c>
      <c r="H89" s="36"/>
    </row>
    <row r="90" spans="2:8" x14ac:dyDescent="0.2">
      <c r="B90" s="37"/>
      <c r="C90" s="36" t="s">
        <v>134</v>
      </c>
      <c r="D90" s="8">
        <v>1665.6640326524162</v>
      </c>
      <c r="E90" t="s">
        <v>139</v>
      </c>
      <c r="F90" s="37">
        <v>1</v>
      </c>
      <c r="G90" s="46">
        <v>4866588.6874967311</v>
      </c>
      <c r="H90" s="36"/>
    </row>
    <row r="91" spans="2:8" x14ac:dyDescent="0.2">
      <c r="B91" s="37"/>
      <c r="C91" s="36" t="s">
        <v>166</v>
      </c>
      <c r="D91" s="8">
        <v>2.2636273566464609</v>
      </c>
      <c r="E91" t="s">
        <v>139</v>
      </c>
      <c r="F91" s="37">
        <v>1</v>
      </c>
      <c r="G91" s="46">
        <v>25420.760582922994</v>
      </c>
      <c r="H91" s="36"/>
    </row>
    <row r="92" spans="2:8" x14ac:dyDescent="0.2">
      <c r="B92" s="37" t="s">
        <v>168</v>
      </c>
      <c r="C92" s="36"/>
      <c r="F92" s="37"/>
      <c r="G92" s="37"/>
      <c r="H92" s="36"/>
    </row>
    <row r="93" spans="2:8" x14ac:dyDescent="0.2">
      <c r="B93" s="37"/>
      <c r="C93" s="36" t="s">
        <v>181</v>
      </c>
      <c r="F93" s="37"/>
      <c r="G93" s="46">
        <v>1974376.9241341825</v>
      </c>
      <c r="H93" s="36"/>
    </row>
    <row r="94" spans="2:8" x14ac:dyDescent="0.2">
      <c r="B94" s="37"/>
      <c r="C94" s="36" t="s">
        <v>167</v>
      </c>
      <c r="D94" s="8">
        <f>15035*O22</f>
        <v>14072.76</v>
      </c>
      <c r="E94" t="s">
        <v>182</v>
      </c>
      <c r="F94" s="37"/>
      <c r="G94" s="46">
        <v>13666282.907858817</v>
      </c>
      <c r="H94" s="36"/>
    </row>
    <row r="95" spans="2:8" x14ac:dyDescent="0.2">
      <c r="B95" s="37"/>
      <c r="C95" s="36" t="s">
        <v>177</v>
      </c>
      <c r="F95" s="37"/>
      <c r="G95" s="46">
        <v>2943691.7159364903</v>
      </c>
      <c r="H95" s="36"/>
    </row>
    <row r="96" spans="2:8" x14ac:dyDescent="0.2">
      <c r="B96" s="39"/>
      <c r="C96" s="41" t="s">
        <v>178</v>
      </c>
      <c r="D96" s="39"/>
      <c r="E96" s="41"/>
      <c r="F96" s="39"/>
      <c r="G96" s="47">
        <v>10256727.4954047</v>
      </c>
      <c r="H96" s="40"/>
    </row>
    <row r="97" spans="2:8" x14ac:dyDescent="0.2">
      <c r="B97" s="37" t="s">
        <v>155</v>
      </c>
      <c r="G97" s="50">
        <f>SUM(G65:G96)</f>
        <v>168251301.79205099</v>
      </c>
      <c r="H97" s="36"/>
    </row>
    <row r="98" spans="2:8" x14ac:dyDescent="0.2">
      <c r="B98" s="37" t="s">
        <v>187</v>
      </c>
      <c r="G98" s="46">
        <f>G97/581.8*615.9</f>
        <v>178112713.60213855</v>
      </c>
      <c r="H98" s="36"/>
    </row>
    <row r="99" spans="2:8" x14ac:dyDescent="0.2">
      <c r="B99" s="39" t="s">
        <v>188</v>
      </c>
      <c r="C99" s="41"/>
      <c r="D99" s="41"/>
      <c r="E99" s="41"/>
      <c r="F99" s="41"/>
      <c r="G99" s="47">
        <v>692757682</v>
      </c>
      <c r="H99" s="40"/>
    </row>
    <row r="101" spans="2:8" x14ac:dyDescent="0.2">
      <c r="B101" s="43" t="s">
        <v>80</v>
      </c>
      <c r="C101" s="44"/>
      <c r="D101" s="43" t="s">
        <v>148</v>
      </c>
      <c r="E101" s="44"/>
      <c r="F101" s="44"/>
      <c r="G101" s="43" t="s">
        <v>188</v>
      </c>
      <c r="H101" s="45"/>
    </row>
    <row r="102" spans="2:8" x14ac:dyDescent="0.2">
      <c r="B102" s="38"/>
      <c r="C102" s="18"/>
      <c r="D102" s="51">
        <v>41309</v>
      </c>
      <c r="E102" s="18" t="s">
        <v>139</v>
      </c>
      <c r="F102" s="18"/>
      <c r="G102" s="49">
        <v>82431623</v>
      </c>
      <c r="H102" s="42"/>
    </row>
    <row r="104" spans="2:8" x14ac:dyDescent="0.2">
      <c r="B104">
        <v>1</v>
      </c>
      <c r="C104" t="s">
        <v>152</v>
      </c>
    </row>
    <row r="105" spans="2:8" x14ac:dyDescent="0.2">
      <c r="B105">
        <v>2</v>
      </c>
      <c r="C105" t="s">
        <v>151</v>
      </c>
    </row>
    <row r="106" spans="2:8" x14ac:dyDescent="0.2">
      <c r="B106">
        <v>3</v>
      </c>
      <c r="C106" t="s">
        <v>153</v>
      </c>
    </row>
    <row r="107" spans="2:8" x14ac:dyDescent="0.2">
      <c r="B107" s="15" t="s">
        <v>173</v>
      </c>
      <c r="C107" t="s">
        <v>180</v>
      </c>
    </row>
    <row r="108" spans="2:8" x14ac:dyDescent="0.2">
      <c r="B108" s="15" t="s">
        <v>179</v>
      </c>
      <c r="C108" t="s">
        <v>174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2F24-4BDB-4685-9E89-F41BD86E50AC}">
  <dimension ref="B2:AF107"/>
  <sheetViews>
    <sheetView workbookViewId="0">
      <pane xSplit="3" topLeftCell="D1" activePane="topRight" state="frozen"/>
      <selection activeCell="A5" sqref="A5"/>
      <selection pane="topRight" activeCell="P19" sqref="P19"/>
    </sheetView>
  </sheetViews>
  <sheetFormatPr baseColWidth="10" defaultColWidth="8.83203125" defaultRowHeight="15" x14ac:dyDescent="0.2"/>
  <cols>
    <col min="2" max="2" width="3.5" customWidth="1"/>
    <col min="3" max="3" width="32.1640625" customWidth="1"/>
    <col min="4" max="4" width="10.83203125" customWidth="1"/>
    <col min="5" max="5" width="12.1640625" customWidth="1"/>
    <col min="6" max="6" width="10.83203125" customWidth="1"/>
    <col min="7" max="7" width="12.83203125" customWidth="1"/>
    <col min="8" max="8" width="12.6640625" customWidth="1"/>
    <col min="9" max="9" width="12.83203125" customWidth="1"/>
    <col min="10" max="10" width="12.5" customWidth="1"/>
    <col min="11" max="32" width="10.83203125" customWidth="1"/>
  </cols>
  <sheetData>
    <row r="2" spans="2:2" x14ac:dyDescent="0.2">
      <c r="B2" s="1" t="s">
        <v>285</v>
      </c>
    </row>
    <row r="22" spans="2:32" x14ac:dyDescent="0.2">
      <c r="B22" s="1" t="s">
        <v>0</v>
      </c>
      <c r="D22" t="s">
        <v>16</v>
      </c>
      <c r="M22" t="s">
        <v>17</v>
      </c>
      <c r="O22">
        <v>0.93799999999999994</v>
      </c>
    </row>
    <row r="24" spans="2:32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</row>
    <row r="25" spans="2:32" x14ac:dyDescent="0.2">
      <c r="C25" s="3" t="s">
        <v>1</v>
      </c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</row>
    <row r="26" spans="2:32" x14ac:dyDescent="0.2">
      <c r="C26" s="3" t="s">
        <v>2</v>
      </c>
      <c r="D26" s="57">
        <v>8.0999999999999996E-3</v>
      </c>
      <c r="E26" s="57"/>
      <c r="F26" s="57"/>
      <c r="G26" s="57">
        <v>9.4000000000000004E-3</v>
      </c>
      <c r="H26" s="57">
        <f>G26</f>
        <v>9.4000000000000004E-3</v>
      </c>
      <c r="I26" s="57">
        <v>1.0800000000000001E-2</v>
      </c>
      <c r="J26" s="58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</row>
    <row r="27" spans="2:32" x14ac:dyDescent="0.2">
      <c r="C27" s="3" t="s">
        <v>3</v>
      </c>
      <c r="D27" s="57">
        <v>0.1246</v>
      </c>
      <c r="E27" s="57">
        <v>2.0000000000000001E-4</v>
      </c>
      <c r="F27" s="57">
        <v>1E-4</v>
      </c>
      <c r="G27" s="57">
        <v>0.14510000000000001</v>
      </c>
      <c r="H27" s="57">
        <f>G27</f>
        <v>0.14510000000000001</v>
      </c>
      <c r="I27" s="57">
        <v>1.66E-2</v>
      </c>
      <c r="J27" s="58">
        <v>4.4080000000000001E-2</v>
      </c>
      <c r="K27" s="57">
        <v>0.16450000000000001</v>
      </c>
      <c r="L27" s="57"/>
      <c r="M27" s="57">
        <f>K27</f>
        <v>0.16450000000000001</v>
      </c>
      <c r="N27" s="57">
        <f>M27</f>
        <v>0.16450000000000001</v>
      </c>
      <c r="O27" s="57">
        <v>4.3799999999999999E-2</v>
      </c>
      <c r="P27" s="58">
        <f>J27</f>
        <v>4.4080000000000001E-2</v>
      </c>
      <c r="Q27" s="57">
        <f>N27</f>
        <v>0.16450000000000001</v>
      </c>
      <c r="R27" s="57">
        <f>N27</f>
        <v>0.16450000000000001</v>
      </c>
      <c r="S27" s="58">
        <v>0.9254</v>
      </c>
      <c r="T27" s="57">
        <v>0.1341</v>
      </c>
      <c r="U27" s="57">
        <f>T27</f>
        <v>0.1341</v>
      </c>
      <c r="V27" s="58">
        <v>0.96199999999999997</v>
      </c>
      <c r="W27" s="57">
        <f>O27</f>
        <v>4.3799999999999999E-2</v>
      </c>
      <c r="X27" s="57">
        <v>0.99270000000000003</v>
      </c>
      <c r="Y27" s="58">
        <v>0.98219999999999996</v>
      </c>
      <c r="Z27" s="57">
        <v>0.99739999999999995</v>
      </c>
      <c r="AA27" s="57"/>
      <c r="AB27" s="57"/>
      <c r="AC27" s="57"/>
      <c r="AD27" s="57"/>
      <c r="AE27" s="57"/>
      <c r="AF27" s="57"/>
    </row>
    <row r="28" spans="2:32" x14ac:dyDescent="0.2">
      <c r="C28" s="3" t="s">
        <v>129</v>
      </c>
      <c r="D28" s="57"/>
      <c r="E28" s="57"/>
      <c r="F28" s="57"/>
      <c r="G28" s="57"/>
      <c r="H28" s="57"/>
      <c r="I28" s="61"/>
      <c r="J28" s="58">
        <v>0.62970000000000004</v>
      </c>
      <c r="K28" s="57">
        <v>0.54849999999999999</v>
      </c>
      <c r="L28" s="58">
        <v>1</v>
      </c>
      <c r="M28" s="57">
        <f t="shared" ref="M28:M30" si="0">K28</f>
        <v>0.54849999999999999</v>
      </c>
      <c r="N28" s="57">
        <f t="shared" ref="N28:N30" si="1">M28</f>
        <v>0.54849999999999999</v>
      </c>
      <c r="O28" s="58">
        <v>0.63</v>
      </c>
      <c r="P28" s="58">
        <f t="shared" ref="P28:P29" si="2">J28</f>
        <v>0.62970000000000004</v>
      </c>
      <c r="Q28" s="57">
        <f t="shared" ref="Q28:Q29" si="3">N28</f>
        <v>0.54849999999999999</v>
      </c>
      <c r="R28" s="57">
        <f t="shared" ref="R28:R30" si="4">N28</f>
        <v>0.54849999999999999</v>
      </c>
      <c r="S28" s="57">
        <v>5.5999999999999999E-3</v>
      </c>
      <c r="T28" s="57">
        <v>0.57020000000000004</v>
      </c>
      <c r="U28" s="57">
        <f t="shared" ref="U28:U29" si="5">T28</f>
        <v>0.57020000000000004</v>
      </c>
      <c r="V28" s="57">
        <v>5.9999999999999995E-4</v>
      </c>
      <c r="W28" s="57">
        <f t="shared" ref="W28:W29" si="6">O28</f>
        <v>0.63</v>
      </c>
      <c r="X28" s="57"/>
      <c r="Y28" s="57"/>
      <c r="Z28" s="57"/>
      <c r="AA28" s="57"/>
      <c r="AB28" s="57"/>
      <c r="AC28" s="57"/>
      <c r="AD28" s="57"/>
      <c r="AE28" s="57"/>
      <c r="AF28" s="57"/>
    </row>
    <row r="29" spans="2:32" x14ac:dyDescent="0.2">
      <c r="C29" s="3" t="s">
        <v>4</v>
      </c>
      <c r="D29" s="57">
        <v>0.14940000000000001</v>
      </c>
      <c r="E29" s="57">
        <v>0.99980000000000002</v>
      </c>
      <c r="F29" s="57">
        <v>0.99990000000000001</v>
      </c>
      <c r="G29" s="57">
        <v>9.2999999999999992E-3</v>
      </c>
      <c r="H29" s="57">
        <f>G29</f>
        <v>9.2999999999999992E-3</v>
      </c>
      <c r="I29" s="57">
        <v>1.32E-2</v>
      </c>
      <c r="J29" s="58">
        <v>0.32619999999999999</v>
      </c>
      <c r="K29" s="57">
        <v>0.28689999999999999</v>
      </c>
      <c r="L29" s="57"/>
      <c r="M29" s="57">
        <f t="shared" si="0"/>
        <v>0.28689999999999999</v>
      </c>
      <c r="N29" s="57">
        <f t="shared" si="1"/>
        <v>0.28689999999999999</v>
      </c>
      <c r="O29" s="58">
        <v>0.32619999999999999</v>
      </c>
      <c r="P29" s="58">
        <f t="shared" si="2"/>
        <v>0.32619999999999999</v>
      </c>
      <c r="Q29" s="57">
        <f t="shared" si="3"/>
        <v>0.28689999999999999</v>
      </c>
      <c r="R29" s="57">
        <f t="shared" si="4"/>
        <v>0.28689999999999999</v>
      </c>
      <c r="S29" s="57">
        <v>6.7199999999999996E-2</v>
      </c>
      <c r="T29" s="57">
        <v>0.29570000000000002</v>
      </c>
      <c r="U29" s="57">
        <f t="shared" si="5"/>
        <v>0.29570000000000002</v>
      </c>
      <c r="V29" s="58">
        <v>3.73E-2</v>
      </c>
      <c r="W29" s="57">
        <f t="shared" si="6"/>
        <v>0.32619999999999999</v>
      </c>
      <c r="X29" s="57">
        <v>5.4000000000000003E-3</v>
      </c>
      <c r="Y29" s="57">
        <v>1.77E-2</v>
      </c>
      <c r="Z29" s="58">
        <v>2.0999999999999999E-3</v>
      </c>
      <c r="AA29" s="58">
        <v>1</v>
      </c>
      <c r="AB29" s="58">
        <v>1</v>
      </c>
      <c r="AC29" s="57"/>
      <c r="AD29" s="57"/>
      <c r="AE29" s="57"/>
      <c r="AF29" s="57"/>
    </row>
    <row r="30" spans="2:32" x14ac:dyDescent="0.2">
      <c r="C30" s="3" t="s">
        <v>5</v>
      </c>
      <c r="D30" s="57">
        <v>0.68130000000000002</v>
      </c>
      <c r="E30" s="57"/>
      <c r="F30" s="57"/>
      <c r="G30" s="57">
        <v>0.79359999999999997</v>
      </c>
      <c r="H30" s="57">
        <f>G30</f>
        <v>0.79359999999999997</v>
      </c>
      <c r="I30" s="57">
        <v>0.91049999999999998</v>
      </c>
      <c r="J30" s="58"/>
      <c r="K30" s="57">
        <v>1E-4</v>
      </c>
      <c r="L30" s="57"/>
      <c r="M30" s="57">
        <f t="shared" si="0"/>
        <v>1E-4</v>
      </c>
      <c r="N30" s="57">
        <f t="shared" si="1"/>
        <v>1E-4</v>
      </c>
      <c r="O30" s="57"/>
      <c r="P30" s="57"/>
      <c r="Q30" s="57">
        <f>N30</f>
        <v>1E-4</v>
      </c>
      <c r="R30" s="57">
        <f t="shared" si="4"/>
        <v>1E-4</v>
      </c>
      <c r="S30" s="58">
        <v>1.6000000000000001E-3</v>
      </c>
      <c r="T30" s="57"/>
      <c r="U30" s="57"/>
      <c r="V30" s="57">
        <v>1E-4</v>
      </c>
      <c r="W30" s="57"/>
      <c r="X30" s="57">
        <v>1.6999999999999999E-3</v>
      </c>
      <c r="Y30" s="57">
        <v>1E-4</v>
      </c>
      <c r="Z30" s="57">
        <v>5.0000000000000001E-4</v>
      </c>
      <c r="AA30" s="57"/>
      <c r="AB30" s="57"/>
      <c r="AC30" s="57"/>
      <c r="AD30" s="57"/>
      <c r="AE30" s="57"/>
      <c r="AF30" s="57"/>
    </row>
    <row r="31" spans="2:32" x14ac:dyDescent="0.2">
      <c r="C31" s="3" t="s">
        <v>6</v>
      </c>
      <c r="D31" s="57"/>
      <c r="E31" s="57"/>
      <c r="F31" s="57"/>
      <c r="G31" s="57"/>
      <c r="H31" s="57"/>
      <c r="I31" s="57"/>
      <c r="J31" s="58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8"/>
      <c r="Y31" s="58"/>
      <c r="Z31" s="58"/>
      <c r="AA31" s="58"/>
      <c r="AB31" s="58"/>
      <c r="AC31" s="58">
        <v>1</v>
      </c>
      <c r="AD31" s="58">
        <v>1</v>
      </c>
      <c r="AE31" s="58">
        <v>1</v>
      </c>
      <c r="AF31" s="58">
        <v>1</v>
      </c>
    </row>
    <row r="32" spans="2:32" x14ac:dyDescent="0.2">
      <c r="C32" s="3" t="s">
        <v>7</v>
      </c>
      <c r="D32" s="57">
        <v>3.6600000000000001E-2</v>
      </c>
      <c r="E32" s="57"/>
      <c r="F32" s="57"/>
      <c r="G32" s="57">
        <v>4.2599999999999999E-2</v>
      </c>
      <c r="H32" s="57">
        <f>G32</f>
        <v>4.2599999999999999E-2</v>
      </c>
      <c r="I32" s="57">
        <v>4.8899999999999999E-2</v>
      </c>
      <c r="J32" s="58"/>
      <c r="K32" s="57"/>
      <c r="L32" s="57"/>
      <c r="M32" s="57"/>
      <c r="N32" s="57"/>
      <c r="O32" s="57"/>
      <c r="P32" s="57"/>
      <c r="Q32" s="57"/>
      <c r="R32" s="57"/>
      <c r="S32" s="57">
        <v>2.0000000000000001E-4</v>
      </c>
      <c r="T32" s="57"/>
      <c r="U32" s="57"/>
      <c r="V32" s="57"/>
      <c r="W32" s="57"/>
      <c r="X32" s="57">
        <v>2.0000000000000001E-4</v>
      </c>
      <c r="Y32" s="57"/>
      <c r="Z32" s="57"/>
      <c r="AA32" s="57"/>
      <c r="AB32" s="57"/>
      <c r="AC32" s="57"/>
      <c r="AD32" s="57"/>
      <c r="AE32" s="57"/>
      <c r="AF32" s="57"/>
    </row>
    <row r="33" spans="2:32" x14ac:dyDescent="0.2">
      <c r="C33" s="3"/>
      <c r="D33" s="57"/>
      <c r="E33" s="57"/>
      <c r="F33" s="57"/>
      <c r="G33" s="57"/>
      <c r="H33" s="57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7"/>
      <c r="Y33" s="57"/>
      <c r="Z33" s="57"/>
      <c r="AA33" s="57"/>
      <c r="AB33" s="57"/>
      <c r="AC33" s="57"/>
      <c r="AD33" s="57"/>
      <c r="AE33" s="57"/>
      <c r="AF33" s="57"/>
    </row>
    <row r="34" spans="2:32" x14ac:dyDescent="0.2">
      <c r="C34" s="3" t="s">
        <v>8</v>
      </c>
      <c r="D34" s="59">
        <f>116568*O22</f>
        <v>109340.784</v>
      </c>
      <c r="E34" s="59">
        <f>2401.3*O22</f>
        <v>2252.4194000000002</v>
      </c>
      <c r="F34" s="59">
        <f>O22*14087.3</f>
        <v>13213.887399999998</v>
      </c>
      <c r="G34" s="59">
        <f>100079*O22</f>
        <v>93874.101999999999</v>
      </c>
      <c r="H34" s="59">
        <f>G34</f>
        <v>93874.101999999999</v>
      </c>
      <c r="I34" s="59">
        <f>87219*O22</f>
        <v>81811.421999999991</v>
      </c>
      <c r="J34" s="59">
        <f>90143.1*O22</f>
        <v>84554.227799999993</v>
      </c>
      <c r="K34" s="59">
        <f>103465*O22</f>
        <v>97050.17</v>
      </c>
      <c r="L34" s="59">
        <f>L35/L41</f>
        <v>1.0215002259376411</v>
      </c>
      <c r="M34" s="59">
        <f>K34</f>
        <v>97050.17</v>
      </c>
      <c r="N34" s="59">
        <f>93119*O22</f>
        <v>87345.621999999988</v>
      </c>
      <c r="O34" s="59">
        <f>89707.4*O22</f>
        <v>84145.541199999992</v>
      </c>
      <c r="P34" s="59">
        <f>J34</f>
        <v>84554.227799999993</v>
      </c>
      <c r="Q34" s="59">
        <f>10346.5*O22</f>
        <v>9705.0169999999998</v>
      </c>
      <c r="R34" s="59">
        <f>N34</f>
        <v>87345.621999999988</v>
      </c>
      <c r="S34" s="59">
        <f>3582.1*O22</f>
        <v>3360.0097999999998</v>
      </c>
      <c r="T34" s="59">
        <f>89536.7*O22</f>
        <v>83985.424599999998</v>
      </c>
      <c r="U34" s="59">
        <f>T34</f>
        <v>83985.424599999998</v>
      </c>
      <c r="V34" s="59">
        <f>10175.7*O22</f>
        <v>9544.8065999999999</v>
      </c>
      <c r="W34" s="59">
        <f>O34</f>
        <v>84145.541199999992</v>
      </c>
      <c r="X34" s="59">
        <f>3315.3*O22</f>
        <v>3109.7514000000001</v>
      </c>
      <c r="Y34" s="59">
        <f>9958.8*O22</f>
        <v>9341.3543999999983</v>
      </c>
      <c r="Z34" s="59">
        <f>13106.5*O22</f>
        <v>12293.896999999999</v>
      </c>
      <c r="AA34" s="59">
        <f>30006.3*O22*870/1263.8</f>
        <v>19375.645812628576</v>
      </c>
      <c r="AB34" s="59">
        <f>30006.3*O22*393.8/1263.8</f>
        <v>8770.2635873714189</v>
      </c>
      <c r="AC34" s="59">
        <f>9771.8*O22</f>
        <v>9165.9483999999993</v>
      </c>
      <c r="AD34" s="59">
        <f>AC34</f>
        <v>9165.9483999999993</v>
      </c>
      <c r="AE34" s="59">
        <f t="shared" ref="AE34:AF35" si="7">AD34</f>
        <v>9165.9483999999993</v>
      </c>
      <c r="AF34" s="59">
        <f t="shared" si="7"/>
        <v>9165.9483999999993</v>
      </c>
    </row>
    <row r="35" spans="2:32" x14ac:dyDescent="0.2">
      <c r="C35" s="3" t="s">
        <v>9</v>
      </c>
      <c r="D35" s="59">
        <f>3351890*O22</f>
        <v>3144072.82</v>
      </c>
      <c r="E35" s="59">
        <f>43270*O22</f>
        <v>40587.259999999995</v>
      </c>
      <c r="F35" s="59">
        <f>O22*253821</f>
        <v>238084.098</v>
      </c>
      <c r="G35" s="59">
        <f>3054800*O22</f>
        <v>2865402.4</v>
      </c>
      <c r="H35" s="59">
        <f>G35</f>
        <v>2865402.4</v>
      </c>
      <c r="I35" s="59">
        <f>2483270*O22</f>
        <v>2329307.2599999998</v>
      </c>
      <c r="J35" s="59">
        <f>13266900*O22</f>
        <v>12444352.199999999</v>
      </c>
      <c r="K35" s="59">
        <f>13843100*O22</f>
        <v>12984827.799999999</v>
      </c>
      <c r="L35" s="59">
        <f>241*O22</f>
        <v>226.05799999999999</v>
      </c>
      <c r="M35" s="59">
        <f>K35</f>
        <v>12984827.799999999</v>
      </c>
      <c r="N35" s="59">
        <f>12458800*O22</f>
        <v>11686354.399999999</v>
      </c>
      <c r="O35" s="59">
        <f>13249200*O22</f>
        <v>12427749.6</v>
      </c>
      <c r="P35" s="59">
        <f>J35</f>
        <v>12444352.199999999</v>
      </c>
      <c r="Q35" s="59">
        <f>1384310*O22</f>
        <v>1298482.78</v>
      </c>
      <c r="R35" s="59">
        <f>N35</f>
        <v>11686354.399999999</v>
      </c>
      <c r="S35" s="59">
        <f>154869*O22</f>
        <v>145267.122</v>
      </c>
      <c r="T35" s="59">
        <f>12304000*O22</f>
        <v>11541152</v>
      </c>
      <c r="U35" s="59">
        <f>T35</f>
        <v>11541152</v>
      </c>
      <c r="V35" s="59">
        <f>439086*O22</f>
        <v>411862.66799999995</v>
      </c>
      <c r="W35" s="59">
        <f>O35</f>
        <v>12427749.6</v>
      </c>
      <c r="X35" s="59">
        <f>145341*O22</f>
        <v>136329.85799999998</v>
      </c>
      <c r="Y35" s="59">
        <f>433687*O22</f>
        <v>406798.40599999996</v>
      </c>
      <c r="Z35" s="59">
        <f>576009*O22</f>
        <v>540296.44199999992</v>
      </c>
      <c r="AA35" s="59">
        <f>540571*O22*870/1263.8</f>
        <v>349057.10576040513</v>
      </c>
      <c r="AB35" s="59">
        <f>540571*O22*393.8/1263.8</f>
        <v>157998.49223959487</v>
      </c>
      <c r="AC35" s="59">
        <f>166420*O22</f>
        <v>156101.96</v>
      </c>
      <c r="AD35" s="59">
        <f>AC35</f>
        <v>156101.96</v>
      </c>
      <c r="AE35" s="59">
        <f t="shared" si="7"/>
        <v>156101.96</v>
      </c>
      <c r="AF35" s="59">
        <f t="shared" si="7"/>
        <v>156101.96</v>
      </c>
    </row>
    <row r="36" spans="2:32" x14ac:dyDescent="0.2">
      <c r="C36" s="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 spans="2:32" x14ac:dyDescent="0.2">
      <c r="C37" s="3" t="s">
        <v>200</v>
      </c>
      <c r="D37" s="57">
        <v>56.2</v>
      </c>
      <c r="E37" s="57">
        <v>6</v>
      </c>
      <c r="F37" s="57">
        <v>25.6</v>
      </c>
      <c r="G37" s="57">
        <v>6</v>
      </c>
      <c r="H37" s="57">
        <v>14.2</v>
      </c>
      <c r="I37" s="57">
        <v>11.8</v>
      </c>
      <c r="J37" s="57">
        <v>23.9</v>
      </c>
      <c r="K37" s="57">
        <v>34</v>
      </c>
      <c r="L37" s="57">
        <v>23.9</v>
      </c>
      <c r="M37" s="57">
        <v>34.1</v>
      </c>
      <c r="N37" s="57">
        <v>87.1</v>
      </c>
      <c r="O37" s="57">
        <v>102.8</v>
      </c>
      <c r="P37" s="57">
        <v>39.1</v>
      </c>
      <c r="Q37" s="57">
        <f>M37</f>
        <v>34.1</v>
      </c>
      <c r="R37" s="57">
        <v>109.3</v>
      </c>
      <c r="S37" s="57">
        <f>R37</f>
        <v>109.3</v>
      </c>
      <c r="T37" s="57">
        <v>109.3</v>
      </c>
      <c r="U37" s="57">
        <v>109.3</v>
      </c>
      <c r="V37" s="57">
        <v>61.9</v>
      </c>
      <c r="W37" s="57">
        <v>102.7</v>
      </c>
      <c r="X37" s="57">
        <v>25.6</v>
      </c>
      <c r="Y37" s="57">
        <v>25.6</v>
      </c>
      <c r="Z37" s="57">
        <v>44.1</v>
      </c>
      <c r="AA37" s="57">
        <v>184.9</v>
      </c>
      <c r="AB37" s="57">
        <f>AA37</f>
        <v>184.9</v>
      </c>
      <c r="AC37" s="57">
        <v>3</v>
      </c>
      <c r="AD37" s="57">
        <v>60</v>
      </c>
      <c r="AE37" s="57">
        <v>26</v>
      </c>
      <c r="AF37" s="57">
        <v>2.5</v>
      </c>
    </row>
    <row r="38" spans="2:32" x14ac:dyDescent="0.2">
      <c r="C38" s="3" t="s">
        <v>11</v>
      </c>
      <c r="D38" s="57">
        <v>1.03</v>
      </c>
      <c r="E38" s="57">
        <v>1.02</v>
      </c>
      <c r="F38" s="57">
        <v>1.02</v>
      </c>
      <c r="G38" s="57">
        <v>1.02</v>
      </c>
      <c r="H38" s="57">
        <v>1.1000000000000001</v>
      </c>
      <c r="I38" s="57">
        <v>1.02</v>
      </c>
      <c r="J38" s="57">
        <v>1.37</v>
      </c>
      <c r="K38" s="57">
        <v>1.1000000000000001</v>
      </c>
      <c r="L38" s="57">
        <v>1.5</v>
      </c>
      <c r="M38" s="57">
        <v>6.5</v>
      </c>
      <c r="N38" s="57">
        <v>6</v>
      </c>
      <c r="O38" s="57">
        <v>6</v>
      </c>
      <c r="P38" s="57">
        <v>1.38</v>
      </c>
      <c r="Q38" s="57">
        <f t="shared" ref="Q38:Q41" si="8">M38</f>
        <v>6.5</v>
      </c>
      <c r="R38" s="57">
        <v>5.4</v>
      </c>
      <c r="S38" s="57">
        <f>R38</f>
        <v>5.4</v>
      </c>
      <c r="T38" s="57">
        <v>5.4</v>
      </c>
      <c r="U38" s="57">
        <v>1.8</v>
      </c>
      <c r="V38" s="57">
        <v>1.8</v>
      </c>
      <c r="W38" s="57">
        <v>1.8</v>
      </c>
      <c r="X38" s="57">
        <v>5.4</v>
      </c>
      <c r="Y38" s="57">
        <v>1.8</v>
      </c>
      <c r="Z38" s="57">
        <v>152.69999999999999</v>
      </c>
      <c r="AA38" s="57">
        <v>2.1</v>
      </c>
      <c r="AB38" s="57">
        <f t="shared" ref="AB38:AB41" si="9">AA38</f>
        <v>2.1</v>
      </c>
      <c r="AC38" s="57">
        <v>4.7</v>
      </c>
      <c r="AD38" s="57">
        <v>10.5</v>
      </c>
      <c r="AE38" s="57">
        <v>10.5</v>
      </c>
      <c r="AF38" s="57">
        <v>4.7</v>
      </c>
    </row>
    <row r="39" spans="2:32" x14ac:dyDescent="0.2">
      <c r="C39" s="3" t="s">
        <v>12</v>
      </c>
      <c r="D39" s="60">
        <v>-2959</v>
      </c>
      <c r="E39" s="60">
        <v>-15952</v>
      </c>
      <c r="F39" s="60">
        <v>-15872</v>
      </c>
      <c r="G39" s="60">
        <v>-1965</v>
      </c>
      <c r="H39" s="60">
        <v>-1957</v>
      </c>
      <c r="I39" s="60">
        <v>-356.2</v>
      </c>
      <c r="J39" s="60">
        <v>-2951</v>
      </c>
      <c r="K39" s="60">
        <v>-3261</v>
      </c>
      <c r="L39" s="60">
        <v>-2290.6</v>
      </c>
      <c r="M39" s="60">
        <v>-3260.4</v>
      </c>
      <c r="N39" s="60">
        <v>-3097</v>
      </c>
      <c r="O39" s="60">
        <v>-2757.6</v>
      </c>
      <c r="P39" s="60">
        <v>-2918</v>
      </c>
      <c r="Q39" s="60">
        <f>M39</f>
        <v>-3260.4</v>
      </c>
      <c r="R39" s="60">
        <v>-3027</v>
      </c>
      <c r="S39" s="60">
        <v>-8784</v>
      </c>
      <c r="T39" s="60">
        <v>-2955</v>
      </c>
      <c r="U39" s="60">
        <v>-2923</v>
      </c>
      <c r="V39" s="60">
        <v>-8963</v>
      </c>
      <c r="W39" s="60">
        <v>-2758</v>
      </c>
      <c r="X39" s="60">
        <v>-8950</v>
      </c>
      <c r="Y39" s="60">
        <v>-8983</v>
      </c>
      <c r="Z39" s="60">
        <v>-9156</v>
      </c>
      <c r="AA39" s="60">
        <v>-13143</v>
      </c>
      <c r="AB39" s="57">
        <f t="shared" si="9"/>
        <v>-13143</v>
      </c>
      <c r="AC39" s="60">
        <v>-2771.5</v>
      </c>
      <c r="AD39" s="60">
        <v>-2656</v>
      </c>
      <c r="AE39" s="60">
        <v>-3915</v>
      </c>
      <c r="AF39" s="60">
        <v>-3915</v>
      </c>
    </row>
    <row r="40" spans="2:32" x14ac:dyDescent="0.2">
      <c r="C40" s="3" t="s">
        <v>13</v>
      </c>
      <c r="D40" s="57">
        <v>1.1100000000000001</v>
      </c>
      <c r="E40" s="57">
        <v>999.9</v>
      </c>
      <c r="F40" s="57">
        <v>996.8</v>
      </c>
      <c r="G40" s="57">
        <v>1.34</v>
      </c>
      <c r="H40" s="57">
        <v>1.4</v>
      </c>
      <c r="I40" s="57">
        <v>1.2</v>
      </c>
      <c r="J40" s="57">
        <v>1086</v>
      </c>
      <c r="K40" s="57">
        <v>1120.4000000000001</v>
      </c>
      <c r="L40" s="57">
        <v>1072.8</v>
      </c>
      <c r="M40" s="57">
        <v>1120.2</v>
      </c>
      <c r="N40" s="57">
        <v>1027.2</v>
      </c>
      <c r="O40" s="57">
        <v>1002.4</v>
      </c>
      <c r="P40" s="57">
        <v>1071.5</v>
      </c>
      <c r="Q40" s="57">
        <f>M40</f>
        <v>1120.2</v>
      </c>
      <c r="R40" s="57">
        <v>375.4</v>
      </c>
      <c r="S40" s="57">
        <v>7.42</v>
      </c>
      <c r="T40" s="57">
        <v>999.1</v>
      </c>
      <c r="U40" s="57">
        <v>56.7</v>
      </c>
      <c r="V40" s="57">
        <v>2.79</v>
      </c>
      <c r="W40" s="57">
        <v>1002.5</v>
      </c>
      <c r="X40" s="57">
        <v>9.75</v>
      </c>
      <c r="Y40" s="57">
        <v>3.18</v>
      </c>
      <c r="Z40" s="57">
        <v>489.4</v>
      </c>
      <c r="AA40" s="57">
        <v>1.03</v>
      </c>
      <c r="AB40" s="57">
        <f t="shared" si="9"/>
        <v>1.03</v>
      </c>
      <c r="AC40" s="57">
        <v>3.75</v>
      </c>
      <c r="AD40" s="57">
        <v>6.97</v>
      </c>
      <c r="AE40" s="57">
        <v>601.6</v>
      </c>
      <c r="AF40" s="57">
        <v>40.200000000000003</v>
      </c>
    </row>
    <row r="41" spans="2:32" x14ac:dyDescent="0.2">
      <c r="C41" s="3" t="s">
        <v>14</v>
      </c>
      <c r="D41" s="57">
        <v>28.75</v>
      </c>
      <c r="E41" s="57">
        <v>18.02</v>
      </c>
      <c r="F41" s="57">
        <v>18.02</v>
      </c>
      <c r="G41" s="57">
        <v>30.5</v>
      </c>
      <c r="H41" s="57">
        <f>G41</f>
        <v>30.5</v>
      </c>
      <c r="I41" s="57">
        <v>28.46</v>
      </c>
      <c r="J41" s="57">
        <v>147.19999999999999</v>
      </c>
      <c r="K41" s="57">
        <v>133.80000000000001</v>
      </c>
      <c r="L41" s="57">
        <v>221.3</v>
      </c>
      <c r="M41" s="57">
        <v>133.80000000000001</v>
      </c>
      <c r="N41" s="57">
        <v>133.80000000000001</v>
      </c>
      <c r="O41" s="57">
        <v>147.69999999999999</v>
      </c>
      <c r="P41" s="57">
        <v>147.19999999999999</v>
      </c>
      <c r="Q41" s="57">
        <f t="shared" si="8"/>
        <v>133.80000000000001</v>
      </c>
      <c r="R41" s="57">
        <f>N41</f>
        <v>133.80000000000001</v>
      </c>
      <c r="S41" s="57">
        <v>43.2</v>
      </c>
      <c r="T41" s="57">
        <v>137.4</v>
      </c>
      <c r="U41" s="57">
        <f>T41</f>
        <v>137.4</v>
      </c>
      <c r="V41" s="57">
        <v>43.15</v>
      </c>
      <c r="W41" s="57">
        <v>147.69999999999999</v>
      </c>
      <c r="X41" s="57">
        <v>43.8</v>
      </c>
      <c r="Y41" s="57">
        <v>43.6</v>
      </c>
      <c r="Z41" s="57">
        <v>43.95</v>
      </c>
      <c r="AA41" s="57">
        <v>18</v>
      </c>
      <c r="AB41" s="57">
        <f t="shared" si="9"/>
        <v>18</v>
      </c>
      <c r="AC41" s="57">
        <v>17.03</v>
      </c>
      <c r="AD41" s="57">
        <v>17.03</v>
      </c>
      <c r="AE41" s="57">
        <v>17.03</v>
      </c>
      <c r="AF41" s="57">
        <v>17.03</v>
      </c>
    </row>
    <row r="43" spans="2:32" x14ac:dyDescent="0.2">
      <c r="B43" s="1" t="s">
        <v>132</v>
      </c>
      <c r="D43" t="s">
        <v>199</v>
      </c>
    </row>
    <row r="45" spans="2:32" x14ac:dyDescent="0.2">
      <c r="C45" s="53" t="s">
        <v>138</v>
      </c>
      <c r="D45" s="18"/>
      <c r="E45" s="42"/>
    </row>
    <row r="46" spans="2:32" x14ac:dyDescent="0.2">
      <c r="C46" s="37" t="s">
        <v>133</v>
      </c>
      <c r="D46" s="7">
        <f>6402*O22</f>
        <v>6005.076</v>
      </c>
      <c r="E46" s="36" t="s">
        <v>139</v>
      </c>
    </row>
    <row r="47" spans="2:32" x14ac:dyDescent="0.2">
      <c r="C47" s="37" t="s">
        <v>134</v>
      </c>
      <c r="D47" s="7">
        <f>D89</f>
        <v>1881.1545648421104</v>
      </c>
      <c r="E47" s="36" t="s">
        <v>139</v>
      </c>
    </row>
    <row r="48" spans="2:32" x14ac:dyDescent="0.2">
      <c r="C48" s="37" t="s">
        <v>135</v>
      </c>
      <c r="D48" s="7">
        <f>D88</f>
        <v>2291.942917717126</v>
      </c>
      <c r="E48" s="36" t="s">
        <v>139</v>
      </c>
    </row>
    <row r="49" spans="2:8" x14ac:dyDescent="0.2">
      <c r="C49" s="37" t="s">
        <v>136</v>
      </c>
      <c r="D49" s="7">
        <f>D87</f>
        <v>108</v>
      </c>
      <c r="E49" s="36" t="s">
        <v>139</v>
      </c>
    </row>
    <row r="50" spans="2:8" x14ac:dyDescent="0.2">
      <c r="C50" s="37" t="s">
        <v>137</v>
      </c>
      <c r="D50" s="7">
        <f>D64</f>
        <v>6434.1144644654278</v>
      </c>
      <c r="E50" s="36" t="s">
        <v>139</v>
      </c>
    </row>
    <row r="51" spans="2:8" x14ac:dyDescent="0.2">
      <c r="C51" s="39" t="s">
        <v>141</v>
      </c>
      <c r="D51" s="52">
        <f>D100</f>
        <v>38661</v>
      </c>
      <c r="E51" s="40" t="s">
        <v>139</v>
      </c>
    </row>
    <row r="53" spans="2:8" x14ac:dyDescent="0.2">
      <c r="C53" s="53" t="s">
        <v>140</v>
      </c>
      <c r="D53" s="18"/>
      <c r="E53" s="42"/>
    </row>
    <row r="54" spans="2:8" x14ac:dyDescent="0.2">
      <c r="C54" s="37" t="s">
        <v>144</v>
      </c>
      <c r="D54" s="35">
        <f>(209.5+3)*O22</f>
        <v>199.32499999999999</v>
      </c>
      <c r="E54" s="36" t="s">
        <v>142</v>
      </c>
    </row>
    <row r="55" spans="2:8" x14ac:dyDescent="0.2">
      <c r="C55" s="37" t="s">
        <v>143</v>
      </c>
      <c r="D55" s="35">
        <f>D67+D68</f>
        <v>427.52338675214867</v>
      </c>
      <c r="E55" s="36" t="s">
        <v>142</v>
      </c>
    </row>
    <row r="56" spans="2:8" x14ac:dyDescent="0.2">
      <c r="C56" s="37" t="s">
        <v>145</v>
      </c>
      <c r="D56" s="35">
        <f>D70</f>
        <v>1906.0417659366624</v>
      </c>
      <c r="E56" s="36" t="s">
        <v>142</v>
      </c>
    </row>
    <row r="57" spans="2:8" x14ac:dyDescent="0.2">
      <c r="C57" s="37" t="s">
        <v>190</v>
      </c>
      <c r="D57" s="35">
        <f>D73</f>
        <v>49.8</v>
      </c>
      <c r="E57" s="36" t="s">
        <v>142</v>
      </c>
    </row>
    <row r="58" spans="2:8" x14ac:dyDescent="0.2">
      <c r="C58" s="39" t="s">
        <v>147</v>
      </c>
      <c r="D58" s="54">
        <f>D66</f>
        <v>683.94366367476403</v>
      </c>
      <c r="E58" s="40" t="s">
        <v>142</v>
      </c>
    </row>
    <row r="60" spans="2:8" x14ac:dyDescent="0.2">
      <c r="B60" s="1" t="s">
        <v>150</v>
      </c>
    </row>
    <row r="62" spans="2:8" x14ac:dyDescent="0.2">
      <c r="B62" s="43" t="s">
        <v>189</v>
      </c>
      <c r="C62" s="44"/>
      <c r="D62" s="43" t="s">
        <v>148</v>
      </c>
      <c r="E62" s="44"/>
      <c r="F62" s="43" t="s">
        <v>154</v>
      </c>
      <c r="G62" s="43" t="s">
        <v>169</v>
      </c>
      <c r="H62" s="45"/>
    </row>
    <row r="63" spans="2:8" x14ac:dyDescent="0.2">
      <c r="B63" s="37" t="s">
        <v>149</v>
      </c>
      <c r="C63" s="36"/>
      <c r="F63" s="37"/>
      <c r="G63" s="37"/>
      <c r="H63" s="36"/>
    </row>
    <row r="64" spans="2:8" x14ac:dyDescent="0.2">
      <c r="B64" s="37"/>
      <c r="C64" s="36" t="s">
        <v>137</v>
      </c>
      <c r="D64" s="56">
        <v>6434.1144644654278</v>
      </c>
      <c r="E64" t="s">
        <v>139</v>
      </c>
      <c r="F64" s="37"/>
      <c r="G64" s="46">
        <v>9512501.8317086361</v>
      </c>
      <c r="H64" s="36"/>
    </row>
    <row r="65" spans="2:8" x14ac:dyDescent="0.2">
      <c r="B65" s="37" t="s">
        <v>156</v>
      </c>
      <c r="C65" s="36"/>
      <c r="D65" s="48"/>
      <c r="F65" s="37"/>
      <c r="G65" s="37"/>
      <c r="H65" s="36"/>
    </row>
    <row r="66" spans="2:8" x14ac:dyDescent="0.2">
      <c r="B66" s="37"/>
      <c r="C66" s="36" t="s">
        <v>147</v>
      </c>
      <c r="D66" s="48">
        <v>683.94366367476403</v>
      </c>
      <c r="E66" t="s">
        <v>142</v>
      </c>
      <c r="F66" s="37"/>
      <c r="G66" s="46">
        <v>9396517.6454514936</v>
      </c>
      <c r="H66" s="36"/>
    </row>
    <row r="67" spans="2:8" x14ac:dyDescent="0.2">
      <c r="B67" s="37"/>
      <c r="C67" s="36" t="s">
        <v>170</v>
      </c>
      <c r="D67" s="48">
        <v>140.53893788190149</v>
      </c>
      <c r="E67" t="s">
        <v>142</v>
      </c>
      <c r="F67" s="37"/>
      <c r="G67" s="46">
        <v>374037.57754267589</v>
      </c>
      <c r="H67" s="36"/>
    </row>
    <row r="68" spans="2:8" x14ac:dyDescent="0.2">
      <c r="B68" s="37"/>
      <c r="C68" s="36" t="s">
        <v>157</v>
      </c>
      <c r="D68" s="48">
        <v>286.98444887024715</v>
      </c>
      <c r="E68" t="s">
        <v>142</v>
      </c>
      <c r="F68" s="37"/>
      <c r="G68" s="46">
        <v>3299314.0219376143</v>
      </c>
      <c r="H68" s="36"/>
    </row>
    <row r="69" spans="2:8" x14ac:dyDescent="0.2">
      <c r="B69" s="37"/>
      <c r="C69" s="36" t="s">
        <v>158</v>
      </c>
      <c r="D69" s="48">
        <v>406.89725844393087</v>
      </c>
      <c r="E69" t="s">
        <v>142</v>
      </c>
      <c r="F69" s="37"/>
      <c r="G69" s="46">
        <v>4558997.9953771476</v>
      </c>
      <c r="H69" s="36"/>
    </row>
    <row r="70" spans="2:8" x14ac:dyDescent="0.2">
      <c r="B70" s="37"/>
      <c r="C70" s="36" t="s">
        <v>159</v>
      </c>
      <c r="D70" s="48">
        <v>1906.0417659366624</v>
      </c>
      <c r="E70" t="s">
        <v>142</v>
      </c>
      <c r="F70" s="37"/>
      <c r="G70" s="46">
        <v>28563258.598536957</v>
      </c>
      <c r="H70" s="36"/>
    </row>
    <row r="71" spans="2:8" x14ac:dyDescent="0.2">
      <c r="B71" s="37"/>
      <c r="C71" s="36" t="s">
        <v>171</v>
      </c>
      <c r="D71" s="48">
        <v>420.21048671559868</v>
      </c>
      <c r="E71" t="s">
        <v>142</v>
      </c>
      <c r="F71" s="37"/>
      <c r="G71" s="46">
        <v>6451646.8716380466</v>
      </c>
      <c r="H71" s="36"/>
    </row>
    <row r="72" spans="2:8" x14ac:dyDescent="0.2">
      <c r="B72" s="37"/>
      <c r="C72" s="36" t="s">
        <v>191</v>
      </c>
      <c r="D72" s="48">
        <f>815.7+369.2</f>
        <v>1184.9000000000001</v>
      </c>
      <c r="E72" t="s">
        <v>142</v>
      </c>
      <c r="F72" s="37"/>
      <c r="G72" s="46">
        <v>15083820.587530343</v>
      </c>
      <c r="H72" s="36"/>
    </row>
    <row r="73" spans="2:8" x14ac:dyDescent="0.2">
      <c r="B73" s="37"/>
      <c r="C73" s="36" t="s">
        <v>192</v>
      </c>
      <c r="D73" s="48">
        <f>27+22.8</f>
        <v>49.8</v>
      </c>
      <c r="E73" t="s">
        <v>142</v>
      </c>
      <c r="F73" s="37"/>
      <c r="G73" s="46">
        <f>97020+79595</f>
        <v>176615</v>
      </c>
      <c r="H73" s="36"/>
    </row>
    <row r="74" spans="2:8" x14ac:dyDescent="0.2">
      <c r="B74" s="37"/>
      <c r="C74" s="36" t="s">
        <v>161</v>
      </c>
      <c r="D74" s="48">
        <v>20.6</v>
      </c>
      <c r="E74" t="s">
        <v>142</v>
      </c>
      <c r="F74" s="37"/>
      <c r="G74" s="46">
        <v>70263</v>
      </c>
      <c r="H74" s="36"/>
    </row>
    <row r="75" spans="2:8" x14ac:dyDescent="0.2">
      <c r="B75" s="37" t="s">
        <v>183</v>
      </c>
      <c r="C75" s="36"/>
      <c r="F75" s="37"/>
      <c r="G75" s="37"/>
      <c r="H75" s="36"/>
    </row>
    <row r="76" spans="2:8" x14ac:dyDescent="0.2">
      <c r="B76" s="37"/>
      <c r="C76" s="36" t="s">
        <v>184</v>
      </c>
      <c r="D76" s="48">
        <f>19.6*O22^0.5</f>
        <v>18.982678420075498</v>
      </c>
      <c r="E76" t="s">
        <v>176</v>
      </c>
      <c r="F76" s="37"/>
      <c r="G76" s="46">
        <v>16894234.521638639</v>
      </c>
      <c r="H76" s="36"/>
    </row>
    <row r="77" spans="2:8" x14ac:dyDescent="0.2">
      <c r="B77" s="37"/>
      <c r="C77" s="36"/>
      <c r="D77" s="35">
        <v>16</v>
      </c>
      <c r="E77" t="s">
        <v>175</v>
      </c>
      <c r="F77" s="37"/>
      <c r="G77" s="46"/>
      <c r="H77" s="36"/>
    </row>
    <row r="78" spans="2:8" x14ac:dyDescent="0.2">
      <c r="B78" s="37"/>
      <c r="C78" s="36" t="s">
        <v>185</v>
      </c>
      <c r="D78" s="35">
        <f>23.2*O22^0.5</f>
        <v>22.469292823762832</v>
      </c>
      <c r="E78" t="s">
        <v>176</v>
      </c>
      <c r="F78" s="37"/>
      <c r="G78" s="46">
        <v>24849477.654785771</v>
      </c>
      <c r="H78" s="36"/>
    </row>
    <row r="79" spans="2:8" x14ac:dyDescent="0.2">
      <c r="B79" s="37"/>
      <c r="C79" s="36"/>
      <c r="D79" s="35">
        <v>19.8</v>
      </c>
      <c r="E79" t="s">
        <v>175</v>
      </c>
      <c r="F79" s="37"/>
      <c r="G79" s="46"/>
      <c r="H79" s="36"/>
    </row>
    <row r="80" spans="2:8" x14ac:dyDescent="0.2">
      <c r="B80" s="37"/>
      <c r="C80" s="36" t="s">
        <v>196</v>
      </c>
      <c r="D80" s="35">
        <f>4.9*O22^2</f>
        <v>4.3112355999999998</v>
      </c>
      <c r="E80" t="s">
        <v>176</v>
      </c>
      <c r="F80" s="37"/>
      <c r="G80" s="46">
        <f>2045585+2684631</f>
        <v>4730216</v>
      </c>
      <c r="H80" s="36"/>
    </row>
    <row r="81" spans="2:8" x14ac:dyDescent="0.2">
      <c r="B81" s="37"/>
      <c r="C81" s="36"/>
      <c r="D81" s="35">
        <v>1.5</v>
      </c>
      <c r="E81" t="s">
        <v>175</v>
      </c>
      <c r="F81" s="37"/>
      <c r="G81" s="46"/>
      <c r="H81" s="36"/>
    </row>
    <row r="82" spans="2:8" x14ac:dyDescent="0.2">
      <c r="B82" s="37"/>
      <c r="C82" s="36" t="s">
        <v>162</v>
      </c>
      <c r="F82" s="37"/>
      <c r="G82" s="46">
        <v>386267.79888782575</v>
      </c>
      <c r="H82" s="36"/>
    </row>
    <row r="83" spans="2:8" x14ac:dyDescent="0.2">
      <c r="B83" s="37"/>
      <c r="C83" s="36" t="s">
        <v>193</v>
      </c>
      <c r="F83" s="37"/>
      <c r="G83" s="46">
        <f>33195+72020</f>
        <v>105215</v>
      </c>
      <c r="H83" s="36"/>
    </row>
    <row r="84" spans="2:8" x14ac:dyDescent="0.2">
      <c r="B84" s="37" t="s">
        <v>163</v>
      </c>
      <c r="C84" s="36"/>
      <c r="F84" s="37"/>
      <c r="G84" s="37"/>
      <c r="H84" s="36"/>
    </row>
    <row r="85" spans="2:8" x14ac:dyDescent="0.2">
      <c r="B85" s="37"/>
      <c r="C85" s="36" t="s">
        <v>164</v>
      </c>
      <c r="D85">
        <v>892</v>
      </c>
      <c r="E85" t="s">
        <v>139</v>
      </c>
      <c r="F85" s="37">
        <v>1</v>
      </c>
      <c r="G85" s="46">
        <v>2383982.1913417</v>
      </c>
      <c r="H85" s="36"/>
    </row>
    <row r="86" spans="2:8" x14ac:dyDescent="0.2">
      <c r="B86" s="37"/>
      <c r="C86" s="36" t="s">
        <v>165</v>
      </c>
      <c r="D86">
        <v>223</v>
      </c>
      <c r="E86" t="s">
        <v>139</v>
      </c>
      <c r="F86" s="37">
        <v>1</v>
      </c>
      <c r="G86" s="46">
        <v>232682.13778441309</v>
      </c>
      <c r="H86" s="36"/>
    </row>
    <row r="87" spans="2:8" x14ac:dyDescent="0.2">
      <c r="B87" s="37"/>
      <c r="C87" s="36" t="s">
        <v>136</v>
      </c>
      <c r="D87" s="7">
        <v>108</v>
      </c>
      <c r="E87" t="s">
        <v>139</v>
      </c>
      <c r="F87" s="37">
        <v>1</v>
      </c>
      <c r="G87" s="46">
        <v>181518.451092203</v>
      </c>
      <c r="H87" s="36"/>
    </row>
    <row r="88" spans="2:8" x14ac:dyDescent="0.2">
      <c r="B88" s="37"/>
      <c r="C88" s="36" t="s">
        <v>135</v>
      </c>
      <c r="D88" s="8">
        <v>2291.942917717126</v>
      </c>
      <c r="E88" t="s">
        <v>139</v>
      </c>
      <c r="F88" s="37">
        <v>1</v>
      </c>
      <c r="G88" s="46">
        <v>3966674.3935991409</v>
      </c>
      <c r="H88" s="36"/>
    </row>
    <row r="89" spans="2:8" x14ac:dyDescent="0.2">
      <c r="B89" s="37"/>
      <c r="C89" s="36" t="s">
        <v>134</v>
      </c>
      <c r="D89" s="8">
        <v>1881.1545648421104</v>
      </c>
      <c r="E89" t="s">
        <v>139</v>
      </c>
      <c r="F89" s="37">
        <v>1</v>
      </c>
      <c r="G89" s="46">
        <v>4904267.0245671207</v>
      </c>
      <c r="H89" s="36"/>
    </row>
    <row r="90" spans="2:8" x14ac:dyDescent="0.2">
      <c r="B90" s="37" t="s">
        <v>168</v>
      </c>
      <c r="C90" s="36"/>
      <c r="F90" s="37"/>
      <c r="G90" s="37"/>
      <c r="H90" s="36"/>
    </row>
    <row r="91" spans="2:8" x14ac:dyDescent="0.2">
      <c r="B91" s="37"/>
      <c r="C91" s="36" t="s">
        <v>181</v>
      </c>
      <c r="F91" s="37"/>
      <c r="G91" s="46">
        <v>1976267.9275651013</v>
      </c>
      <c r="H91" s="36"/>
    </row>
    <row r="92" spans="2:8" x14ac:dyDescent="0.2">
      <c r="B92" s="37"/>
      <c r="C92" s="36" t="s">
        <v>167</v>
      </c>
      <c r="D92" s="8">
        <f>15035*O22</f>
        <v>14102.83</v>
      </c>
      <c r="E92" t="s">
        <v>182</v>
      </c>
      <c r="F92" s="37"/>
      <c r="G92" s="46">
        <v>13674140.607825434</v>
      </c>
      <c r="H92" s="36"/>
    </row>
    <row r="93" spans="2:8" x14ac:dyDescent="0.2">
      <c r="B93" s="37"/>
      <c r="C93" s="36" t="s">
        <v>194</v>
      </c>
      <c r="F93" s="37"/>
      <c r="G93" s="46">
        <v>2946163.955124238</v>
      </c>
      <c r="H93" s="36"/>
    </row>
    <row r="94" spans="2:8" x14ac:dyDescent="0.2">
      <c r="B94" s="39"/>
      <c r="C94" s="41" t="s">
        <v>195</v>
      </c>
      <c r="D94" s="39"/>
      <c r="E94" s="41"/>
      <c r="F94" s="39"/>
      <c r="G94" s="47">
        <v>10264484.1023343</v>
      </c>
      <c r="H94" s="40"/>
    </row>
    <row r="95" spans="2:8" x14ac:dyDescent="0.2">
      <c r="B95" s="37" t="s">
        <v>155</v>
      </c>
      <c r="G95" s="50">
        <f>SUM(G64:G94)</f>
        <v>164982564.89626876</v>
      </c>
      <c r="H95" s="36"/>
    </row>
    <row r="96" spans="2:8" x14ac:dyDescent="0.2">
      <c r="B96" s="37" t="s">
        <v>187</v>
      </c>
      <c r="G96" s="46">
        <f>G95/581.8*615.9</f>
        <v>174652392.0928359</v>
      </c>
      <c r="H96" s="36"/>
    </row>
    <row r="97" spans="2:8" x14ac:dyDescent="0.2">
      <c r="B97" s="39" t="s">
        <v>188</v>
      </c>
      <c r="C97" s="41"/>
      <c r="D97" s="41"/>
      <c r="E97" s="41"/>
      <c r="F97" s="41"/>
      <c r="G97" s="47">
        <v>680091632</v>
      </c>
      <c r="H97" s="40"/>
    </row>
    <row r="99" spans="2:8" x14ac:dyDescent="0.2">
      <c r="B99" s="43" t="s">
        <v>80</v>
      </c>
      <c r="C99" s="44"/>
      <c r="D99" s="43" t="s">
        <v>148</v>
      </c>
      <c r="E99" s="44"/>
      <c r="F99" s="44"/>
      <c r="G99" s="43" t="s">
        <v>188</v>
      </c>
      <c r="H99" s="45"/>
    </row>
    <row r="100" spans="2:8" x14ac:dyDescent="0.2">
      <c r="B100" s="38"/>
      <c r="C100" s="18"/>
      <c r="D100" s="51">
        <v>38661</v>
      </c>
      <c r="E100" s="18" t="s">
        <v>139</v>
      </c>
      <c r="F100" s="18"/>
      <c r="G100" s="49">
        <v>77945547</v>
      </c>
      <c r="H100" s="42"/>
    </row>
    <row r="102" spans="2:8" x14ac:dyDescent="0.2">
      <c r="B102">
        <v>1</v>
      </c>
      <c r="C102" t="s">
        <v>152</v>
      </c>
    </row>
    <row r="103" spans="2:8" x14ac:dyDescent="0.2">
      <c r="B103">
        <v>2</v>
      </c>
      <c r="C103" t="s">
        <v>151</v>
      </c>
    </row>
    <row r="104" spans="2:8" x14ac:dyDescent="0.2">
      <c r="B104">
        <v>3</v>
      </c>
      <c r="C104" t="s">
        <v>153</v>
      </c>
    </row>
    <row r="105" spans="2:8" x14ac:dyDescent="0.2">
      <c r="B105" s="15" t="s">
        <v>173</v>
      </c>
      <c r="C105" t="s">
        <v>180</v>
      </c>
    </row>
    <row r="106" spans="2:8" x14ac:dyDescent="0.2">
      <c r="B106" s="15" t="s">
        <v>179</v>
      </c>
      <c r="C106" t="s">
        <v>198</v>
      </c>
    </row>
    <row r="107" spans="2:8" x14ac:dyDescent="0.2">
      <c r="B107" s="15" t="s">
        <v>197</v>
      </c>
      <c r="C107" t="s">
        <v>174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3444-05B2-43F0-B613-36AF5A2AA2E6}">
  <dimension ref="B2:W21"/>
  <sheetViews>
    <sheetView topLeftCell="H1" workbookViewId="0">
      <selection activeCell="X36" sqref="X36"/>
    </sheetView>
  </sheetViews>
  <sheetFormatPr baseColWidth="10" defaultColWidth="8.83203125" defaultRowHeight="15" x14ac:dyDescent="0.2"/>
  <sheetData>
    <row r="2" spans="2:15" x14ac:dyDescent="0.2">
      <c r="B2" s="1" t="s">
        <v>280</v>
      </c>
      <c r="O2" s="1" t="s">
        <v>281</v>
      </c>
    </row>
    <row r="21" spans="15:23" x14ac:dyDescent="0.2">
      <c r="O21" s="1" t="s">
        <v>282</v>
      </c>
      <c r="W21" s="1" t="s">
        <v>283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32CA-6552-4CD3-94CA-FEA7BD1B1627}">
  <dimension ref="B2:Y38"/>
  <sheetViews>
    <sheetView workbookViewId="0">
      <selection activeCell="E7" sqref="E7"/>
    </sheetView>
  </sheetViews>
  <sheetFormatPr baseColWidth="10" defaultColWidth="8.83203125" defaultRowHeight="15" x14ac:dyDescent="0.2"/>
  <cols>
    <col min="2" max="2" width="4" customWidth="1"/>
    <col min="3" max="3" width="31.1640625" customWidth="1"/>
    <col min="4" max="4" width="14.6640625" customWidth="1"/>
    <col min="5" max="5" width="20.5" customWidth="1"/>
    <col min="6" max="6" width="10.1640625" customWidth="1"/>
    <col min="7" max="7" width="9.5" customWidth="1"/>
    <col min="8" max="8" width="10.1640625" customWidth="1"/>
    <col min="9" max="9" width="16" customWidth="1"/>
    <col min="10" max="10" width="16.5" customWidth="1"/>
    <col min="12" max="12" width="11.6640625" customWidth="1"/>
    <col min="13" max="13" width="12.6640625" customWidth="1"/>
    <col min="14" max="14" width="13.6640625" customWidth="1"/>
    <col min="15" max="15" width="10.6640625" customWidth="1"/>
    <col min="16" max="16" width="10.5" customWidth="1"/>
    <col min="17" max="17" width="10" customWidth="1"/>
    <col min="18" max="18" width="11.6640625" customWidth="1"/>
    <col min="19" max="19" width="11.1640625" customWidth="1"/>
    <col min="20" max="20" width="13" customWidth="1"/>
    <col min="21" max="21" width="11.33203125" customWidth="1"/>
  </cols>
  <sheetData>
    <row r="2" spans="2:25" x14ac:dyDescent="0.2">
      <c r="B2" s="1" t="s">
        <v>284</v>
      </c>
      <c r="E2" s="1" t="s">
        <v>227</v>
      </c>
      <c r="F2" s="1" t="s">
        <v>228</v>
      </c>
      <c r="G2" s="1"/>
      <c r="L2" t="s">
        <v>243</v>
      </c>
      <c r="O2" t="s">
        <v>251</v>
      </c>
      <c r="P2" t="s">
        <v>252</v>
      </c>
      <c r="Q2" t="s">
        <v>253</v>
      </c>
    </row>
    <row r="3" spans="2:25" x14ac:dyDescent="0.2">
      <c r="B3" s="1" t="s">
        <v>150</v>
      </c>
    </row>
    <row r="4" spans="2:25" x14ac:dyDescent="0.2">
      <c r="B4" s="43" t="s">
        <v>189</v>
      </c>
      <c r="C4" s="44"/>
      <c r="D4" s="44" t="s">
        <v>219</v>
      </c>
      <c r="E4" s="2" t="s">
        <v>209</v>
      </c>
      <c r="F4" s="44" t="s">
        <v>229</v>
      </c>
      <c r="G4" s="44"/>
      <c r="H4" s="43" t="s">
        <v>154</v>
      </c>
      <c r="I4" s="43" t="s">
        <v>207</v>
      </c>
      <c r="J4" s="2" t="s">
        <v>208</v>
      </c>
      <c r="L4" s="71" t="s">
        <v>244</v>
      </c>
      <c r="M4" s="73" t="s">
        <v>247</v>
      </c>
      <c r="N4" s="73"/>
      <c r="O4" s="73" t="s">
        <v>249</v>
      </c>
      <c r="P4" s="73" t="s">
        <v>254</v>
      </c>
      <c r="Q4" s="43" t="s">
        <v>255</v>
      </c>
      <c r="R4" s="44"/>
      <c r="S4" s="71" t="s">
        <v>258</v>
      </c>
      <c r="T4" s="69" t="s">
        <v>260</v>
      </c>
      <c r="U4" s="71" t="s">
        <v>261</v>
      </c>
      <c r="V4" s="69" t="s">
        <v>263</v>
      </c>
      <c r="W4" s="69"/>
      <c r="X4" s="73" t="s">
        <v>266</v>
      </c>
      <c r="Y4" s="70"/>
    </row>
    <row r="5" spans="2:25" x14ac:dyDescent="0.2">
      <c r="B5" s="37" t="s">
        <v>149</v>
      </c>
      <c r="E5" s="65"/>
      <c r="H5" s="37"/>
      <c r="I5" s="37"/>
      <c r="J5" s="63"/>
      <c r="L5" s="72" t="s">
        <v>245</v>
      </c>
      <c r="M5" s="62"/>
      <c r="N5" s="62"/>
      <c r="O5" s="74" t="s">
        <v>250</v>
      </c>
      <c r="P5" s="74" t="s">
        <v>250</v>
      </c>
      <c r="Q5" s="74" t="s">
        <v>256</v>
      </c>
      <c r="R5" s="62" t="s">
        <v>257</v>
      </c>
      <c r="S5" s="72" t="s">
        <v>259</v>
      </c>
      <c r="T5" s="62" t="s">
        <v>250</v>
      </c>
      <c r="U5" s="72" t="s">
        <v>262</v>
      </c>
      <c r="V5" s="62" t="s">
        <v>264</v>
      </c>
      <c r="W5" s="62" t="s">
        <v>265</v>
      </c>
      <c r="X5" s="74" t="s">
        <v>267</v>
      </c>
      <c r="Y5" s="68"/>
    </row>
    <row r="6" spans="2:25" x14ac:dyDescent="0.2">
      <c r="B6" s="37"/>
      <c r="C6" t="s">
        <v>137</v>
      </c>
      <c r="D6" t="s">
        <v>220</v>
      </c>
      <c r="E6" s="63" t="s">
        <v>210</v>
      </c>
      <c r="F6" s="15">
        <v>7191</v>
      </c>
      <c r="G6" t="s">
        <v>139</v>
      </c>
      <c r="H6" s="37"/>
      <c r="I6" s="46">
        <v>5213900</v>
      </c>
      <c r="J6" s="66">
        <v>8358800</v>
      </c>
      <c r="L6" s="38" t="s">
        <v>246</v>
      </c>
      <c r="M6" s="3" t="s">
        <v>248</v>
      </c>
      <c r="N6" s="3"/>
      <c r="O6" s="38">
        <v>235366</v>
      </c>
      <c r="P6" s="38"/>
      <c r="Q6" s="38">
        <v>71742</v>
      </c>
      <c r="R6" s="18"/>
      <c r="S6" s="3"/>
      <c r="T6" s="3">
        <v>307108</v>
      </c>
      <c r="U6" s="18">
        <v>29363</v>
      </c>
      <c r="V6" s="3">
        <v>54181</v>
      </c>
      <c r="W6" s="18">
        <v>78130</v>
      </c>
      <c r="X6" s="18">
        <v>468782</v>
      </c>
      <c r="Y6" s="42"/>
    </row>
    <row r="7" spans="2:25" x14ac:dyDescent="0.2">
      <c r="B7" s="37"/>
      <c r="C7" t="s">
        <v>141</v>
      </c>
      <c r="E7" s="63" t="s">
        <v>274</v>
      </c>
      <c r="F7" s="15">
        <v>23070</v>
      </c>
      <c r="G7" t="s">
        <v>139</v>
      </c>
      <c r="H7" s="37"/>
      <c r="I7" s="46">
        <f>50211000/2*(F7/35690*2)^0.84</f>
        <v>31149777.6275094</v>
      </c>
      <c r="J7" s="66">
        <f>74531000/2*(F7/35690*2)^0.84</f>
        <v>46237359.868473105</v>
      </c>
    </row>
    <row r="8" spans="2:25" x14ac:dyDescent="0.2">
      <c r="B8" s="37" t="s">
        <v>156</v>
      </c>
      <c r="E8" s="63"/>
      <c r="F8" s="15"/>
      <c r="H8" s="37"/>
      <c r="I8" s="46"/>
      <c r="J8" s="66"/>
    </row>
    <row r="9" spans="2:25" x14ac:dyDescent="0.2">
      <c r="B9" s="37"/>
      <c r="C9" t="s">
        <v>147</v>
      </c>
      <c r="D9" t="s">
        <v>242</v>
      </c>
      <c r="E9" s="63" t="s">
        <v>211</v>
      </c>
      <c r="F9" s="48">
        <v>284.5</v>
      </c>
      <c r="G9" t="s">
        <v>142</v>
      </c>
      <c r="H9" s="37"/>
      <c r="I9" s="46">
        <v>1958140</v>
      </c>
      <c r="J9" s="66">
        <v>3098427</v>
      </c>
      <c r="L9" s="43" t="s">
        <v>268</v>
      </c>
      <c r="M9" s="44" t="s">
        <v>273</v>
      </c>
      <c r="N9" s="44" t="s">
        <v>251</v>
      </c>
      <c r="O9" s="44" t="s">
        <v>270</v>
      </c>
      <c r="P9" s="44" t="s">
        <v>275</v>
      </c>
      <c r="Q9" s="44"/>
      <c r="R9" s="44" t="s">
        <v>276</v>
      </c>
      <c r="S9" s="45"/>
    </row>
    <row r="10" spans="2:25" x14ac:dyDescent="0.2">
      <c r="B10" s="37"/>
      <c r="C10" t="s">
        <v>218</v>
      </c>
      <c r="D10" t="s">
        <v>221</v>
      </c>
      <c r="E10" s="63" t="s">
        <v>212</v>
      </c>
      <c r="F10" s="48">
        <v>298.7</v>
      </c>
      <c r="G10" t="s">
        <v>142</v>
      </c>
      <c r="H10" s="37"/>
      <c r="I10" s="46">
        <v>368800</v>
      </c>
      <c r="J10" s="66">
        <v>922700</v>
      </c>
      <c r="L10" s="37" t="s">
        <v>227</v>
      </c>
      <c r="M10">
        <v>2</v>
      </c>
      <c r="N10" t="s">
        <v>269</v>
      </c>
      <c r="O10">
        <v>535.20000000000005</v>
      </c>
      <c r="P10" s="98">
        <f>I36*2/1000000</f>
        <v>216.99838258835211</v>
      </c>
      <c r="Q10" s="98"/>
      <c r="R10" s="98">
        <f>J36*2/1000000</f>
        <v>355.6470937369462</v>
      </c>
      <c r="S10" s="100"/>
    </row>
    <row r="11" spans="2:25" x14ac:dyDescent="0.2">
      <c r="B11" s="37"/>
      <c r="C11" t="s">
        <v>159</v>
      </c>
      <c r="D11" t="s">
        <v>222</v>
      </c>
      <c r="E11" s="63" t="s">
        <v>212</v>
      </c>
      <c r="F11" s="48">
        <v>1289.7</v>
      </c>
      <c r="G11" t="s">
        <v>142</v>
      </c>
      <c r="H11" s="37"/>
      <c r="I11" s="46">
        <v>3586800</v>
      </c>
      <c r="J11" s="66">
        <v>7614800</v>
      </c>
      <c r="L11" s="37" t="s">
        <v>272</v>
      </c>
      <c r="M11">
        <v>2</v>
      </c>
      <c r="N11" t="s">
        <v>269</v>
      </c>
      <c r="O11">
        <v>535.20000000000005</v>
      </c>
      <c r="P11" s="98">
        <f>P12/O12*O11</f>
        <v>236.4705898254177</v>
      </c>
      <c r="Q11" s="98"/>
      <c r="R11" s="98">
        <f>R12/O12*O11</f>
        <v>308.54928027032105</v>
      </c>
      <c r="S11" s="100"/>
    </row>
    <row r="12" spans="2:25" x14ac:dyDescent="0.2">
      <c r="B12" s="37"/>
      <c r="C12" t="s">
        <v>171</v>
      </c>
      <c r="D12" t="s">
        <v>223</v>
      </c>
      <c r="E12" s="63" t="s">
        <v>212</v>
      </c>
      <c r="F12" s="48">
        <v>280.89999999999998</v>
      </c>
      <c r="G12" t="s">
        <v>142</v>
      </c>
      <c r="H12" s="37"/>
      <c r="I12" s="46">
        <v>571800</v>
      </c>
      <c r="J12" s="66">
        <v>1343400</v>
      </c>
      <c r="L12" s="39" t="s">
        <v>271</v>
      </c>
      <c r="M12" s="41">
        <v>2</v>
      </c>
      <c r="N12" s="41" t="s">
        <v>252</v>
      </c>
      <c r="O12" s="41">
        <v>532.70000000000005</v>
      </c>
      <c r="P12" s="99">
        <f>O6/1000</f>
        <v>235.36600000000001</v>
      </c>
      <c r="Q12" s="99"/>
      <c r="R12" s="99">
        <f>T6/1000</f>
        <v>307.108</v>
      </c>
      <c r="S12" s="101"/>
    </row>
    <row r="13" spans="2:25" x14ac:dyDescent="0.2">
      <c r="B13" s="37"/>
      <c r="C13" t="s">
        <v>160</v>
      </c>
      <c r="D13" t="s">
        <v>224</v>
      </c>
      <c r="E13" s="63" t="s">
        <v>213</v>
      </c>
      <c r="F13" s="48">
        <v>1025</v>
      </c>
      <c r="G13" t="s">
        <v>142</v>
      </c>
      <c r="H13" s="37"/>
      <c r="I13" s="46">
        <v>22995707</v>
      </c>
      <c r="J13" s="66">
        <v>34493560</v>
      </c>
      <c r="L13" s="38" t="s">
        <v>277</v>
      </c>
      <c r="M13" s="18"/>
      <c r="N13" s="18"/>
      <c r="O13" s="18"/>
      <c r="P13" s="96">
        <f>(P10-P11)/P11*100</f>
        <v>-8.2345154428893661</v>
      </c>
      <c r="Q13" s="96"/>
      <c r="R13" s="96">
        <f>(R10-R11)/R11*100</f>
        <v>15.264275912542269</v>
      </c>
      <c r="S13" s="97"/>
    </row>
    <row r="14" spans="2:25" x14ac:dyDescent="0.2">
      <c r="B14" s="37"/>
      <c r="C14" t="s">
        <v>146</v>
      </c>
      <c r="D14" t="s">
        <v>225</v>
      </c>
      <c r="E14" s="63" t="s">
        <v>211</v>
      </c>
      <c r="F14" s="48">
        <v>394.3</v>
      </c>
      <c r="G14" t="s">
        <v>142</v>
      </c>
      <c r="H14" s="37"/>
      <c r="I14" s="46">
        <v>407200</v>
      </c>
      <c r="J14" s="66">
        <v>708500</v>
      </c>
    </row>
    <row r="15" spans="2:25" x14ac:dyDescent="0.2">
      <c r="B15" s="37"/>
      <c r="C15" t="s">
        <v>161</v>
      </c>
      <c r="D15" t="s">
        <v>226</v>
      </c>
      <c r="E15" s="63" t="s">
        <v>211</v>
      </c>
      <c r="F15" s="48">
        <v>30</v>
      </c>
      <c r="G15" t="s">
        <v>142</v>
      </c>
      <c r="H15" s="37"/>
      <c r="I15" s="46">
        <v>57500</v>
      </c>
      <c r="J15" s="66">
        <v>190100</v>
      </c>
    </row>
    <row r="16" spans="2:25" x14ac:dyDescent="0.2">
      <c r="B16" s="37" t="s">
        <v>183</v>
      </c>
      <c r="E16" s="63"/>
      <c r="H16" s="37"/>
      <c r="I16" s="37"/>
      <c r="J16" s="63"/>
    </row>
    <row r="17" spans="2:10" x14ac:dyDescent="0.2">
      <c r="B17" s="37"/>
      <c r="C17" t="s">
        <v>184</v>
      </c>
      <c r="D17" t="s">
        <v>230</v>
      </c>
      <c r="E17" s="63" t="s">
        <v>214</v>
      </c>
      <c r="F17" s="48">
        <v>17</v>
      </c>
      <c r="G17" t="s">
        <v>176</v>
      </c>
      <c r="H17" s="37" t="s">
        <v>231</v>
      </c>
      <c r="I17" s="46">
        <v>5986000</v>
      </c>
      <c r="J17" s="66">
        <v>12877700</v>
      </c>
    </row>
    <row r="18" spans="2:10" x14ac:dyDescent="0.2">
      <c r="B18" s="37"/>
      <c r="E18" s="63"/>
      <c r="F18" s="35">
        <v>7.6</v>
      </c>
      <c r="G18" t="s">
        <v>175</v>
      </c>
      <c r="H18" s="37"/>
      <c r="I18" s="46"/>
      <c r="J18" s="63"/>
    </row>
    <row r="19" spans="2:10" x14ac:dyDescent="0.2">
      <c r="B19" s="37"/>
      <c r="C19" t="s">
        <v>185</v>
      </c>
      <c r="D19" t="s">
        <v>221</v>
      </c>
      <c r="E19" s="63" t="s">
        <v>214</v>
      </c>
      <c r="F19" s="35">
        <v>16.399999999999999</v>
      </c>
      <c r="G19" t="s">
        <v>176</v>
      </c>
      <c r="H19" s="37" t="s">
        <v>231</v>
      </c>
      <c r="I19" s="46">
        <v>22116000</v>
      </c>
      <c r="J19" s="66">
        <v>29579200</v>
      </c>
    </row>
    <row r="20" spans="2:10" x14ac:dyDescent="0.2">
      <c r="B20" s="37"/>
      <c r="E20" s="63"/>
      <c r="F20" s="35">
        <v>18</v>
      </c>
      <c r="G20" t="s">
        <v>175</v>
      </c>
      <c r="H20" s="37"/>
      <c r="I20" s="46"/>
      <c r="J20" s="63"/>
    </row>
    <row r="21" spans="2:10" x14ac:dyDescent="0.2">
      <c r="B21" s="37"/>
      <c r="C21" t="s">
        <v>186</v>
      </c>
      <c r="D21" t="s">
        <v>224</v>
      </c>
      <c r="E21" s="63" t="s">
        <v>214</v>
      </c>
      <c r="F21" s="35">
        <v>9.1</v>
      </c>
      <c r="G21" t="s">
        <v>176</v>
      </c>
      <c r="H21" s="37" t="s">
        <v>231</v>
      </c>
      <c r="I21" s="46">
        <v>5302600</v>
      </c>
      <c r="J21" s="66">
        <v>7859200</v>
      </c>
    </row>
    <row r="22" spans="2:10" x14ac:dyDescent="0.2">
      <c r="B22" s="37"/>
      <c r="E22" s="63"/>
      <c r="F22" s="35">
        <v>12</v>
      </c>
      <c r="G22" t="s">
        <v>175</v>
      </c>
      <c r="H22" s="37"/>
      <c r="I22" s="46"/>
      <c r="J22" s="63"/>
    </row>
    <row r="23" spans="2:10" x14ac:dyDescent="0.2">
      <c r="B23" s="37"/>
      <c r="C23" t="s">
        <v>234</v>
      </c>
      <c r="D23" t="s">
        <v>233</v>
      </c>
      <c r="E23" s="63" t="s">
        <v>214</v>
      </c>
      <c r="F23" s="35">
        <v>14.8</v>
      </c>
      <c r="G23" t="s">
        <v>176</v>
      </c>
      <c r="H23" s="37" t="s">
        <v>231</v>
      </c>
      <c r="I23" s="46">
        <v>2005600</v>
      </c>
      <c r="J23" s="66">
        <v>8163600</v>
      </c>
    </row>
    <row r="24" spans="2:10" x14ac:dyDescent="0.2">
      <c r="B24" s="37"/>
      <c r="E24" s="63"/>
      <c r="F24" s="35">
        <v>1.3</v>
      </c>
      <c r="G24" t="s">
        <v>175</v>
      </c>
      <c r="H24" s="37"/>
      <c r="I24" s="46"/>
      <c r="J24" s="66"/>
    </row>
    <row r="25" spans="2:10" x14ac:dyDescent="0.2">
      <c r="B25" s="37"/>
      <c r="C25" t="s">
        <v>235</v>
      </c>
      <c r="D25" t="s">
        <v>236</v>
      </c>
      <c r="E25" s="63" t="s">
        <v>215</v>
      </c>
      <c r="H25" s="37"/>
      <c r="I25" s="46">
        <v>32900</v>
      </c>
      <c r="J25" s="66">
        <v>142800</v>
      </c>
    </row>
    <row r="26" spans="2:10" x14ac:dyDescent="0.2">
      <c r="B26" s="37" t="s">
        <v>163</v>
      </c>
      <c r="E26" s="63"/>
      <c r="H26" s="37"/>
      <c r="I26" s="37"/>
      <c r="J26" s="63"/>
    </row>
    <row r="27" spans="2:10" x14ac:dyDescent="0.2">
      <c r="B27" s="37"/>
      <c r="C27" t="s">
        <v>164</v>
      </c>
      <c r="D27" t="s">
        <v>237</v>
      </c>
      <c r="E27" s="63" t="s">
        <v>216</v>
      </c>
      <c r="F27" s="15">
        <v>472</v>
      </c>
      <c r="G27" t="s">
        <v>139</v>
      </c>
      <c r="H27" s="37">
        <v>1</v>
      </c>
      <c r="I27" s="46">
        <v>793600</v>
      </c>
      <c r="J27" s="66">
        <v>2856700</v>
      </c>
    </row>
    <row r="28" spans="2:10" x14ac:dyDescent="0.2">
      <c r="B28" s="37"/>
      <c r="C28" t="s">
        <v>136</v>
      </c>
      <c r="D28" t="s">
        <v>238</v>
      </c>
      <c r="E28" s="63" t="s">
        <v>216</v>
      </c>
      <c r="F28" s="7">
        <v>123</v>
      </c>
      <c r="G28" t="s">
        <v>139</v>
      </c>
      <c r="H28" s="37">
        <v>1</v>
      </c>
      <c r="I28" s="46">
        <v>146200</v>
      </c>
      <c r="J28" s="66">
        <v>720100</v>
      </c>
    </row>
    <row r="29" spans="2:10" x14ac:dyDescent="0.2">
      <c r="B29" s="37"/>
      <c r="C29" t="s">
        <v>135</v>
      </c>
      <c r="D29" t="s">
        <v>239</v>
      </c>
      <c r="E29" s="63" t="s">
        <v>216</v>
      </c>
      <c r="F29" s="8">
        <v>420</v>
      </c>
      <c r="G29" t="s">
        <v>139</v>
      </c>
      <c r="H29" s="37">
        <v>1</v>
      </c>
      <c r="I29" s="46">
        <v>762800</v>
      </c>
      <c r="J29" s="66">
        <v>2826100</v>
      </c>
    </row>
    <row r="30" spans="2:10" x14ac:dyDescent="0.2">
      <c r="B30" s="37"/>
      <c r="C30" t="s">
        <v>134</v>
      </c>
      <c r="D30" t="s">
        <v>240</v>
      </c>
      <c r="E30" s="63" t="s">
        <v>216</v>
      </c>
      <c r="F30" s="8">
        <v>782</v>
      </c>
      <c r="G30" t="s">
        <v>139</v>
      </c>
      <c r="H30" s="37">
        <v>1</v>
      </c>
      <c r="I30" s="46">
        <v>997000</v>
      </c>
      <c r="J30" s="66">
        <v>3616400</v>
      </c>
    </row>
    <row r="31" spans="2:10" x14ac:dyDescent="0.2">
      <c r="B31" s="37"/>
      <c r="C31" t="s">
        <v>166</v>
      </c>
      <c r="D31" t="s">
        <v>241</v>
      </c>
      <c r="E31" s="63" t="s">
        <v>216</v>
      </c>
      <c r="F31">
        <v>18</v>
      </c>
      <c r="G31" t="s">
        <v>139</v>
      </c>
      <c r="H31" s="37">
        <v>1</v>
      </c>
      <c r="I31" s="46">
        <v>28800</v>
      </c>
      <c r="J31" s="66">
        <v>187000</v>
      </c>
    </row>
    <row r="32" spans="2:10" x14ac:dyDescent="0.2">
      <c r="B32" s="37" t="s">
        <v>168</v>
      </c>
      <c r="E32" s="63"/>
      <c r="H32" s="37"/>
      <c r="I32" s="37"/>
      <c r="J32" s="63"/>
    </row>
    <row r="33" spans="2:10" x14ac:dyDescent="0.2">
      <c r="B33" s="37"/>
      <c r="C33" t="s">
        <v>181</v>
      </c>
      <c r="E33" s="63" t="s">
        <v>217</v>
      </c>
      <c r="H33" s="37"/>
      <c r="I33" s="46">
        <f>J33/1.5</f>
        <v>1256600</v>
      </c>
      <c r="J33" s="66">
        <v>1884900</v>
      </c>
    </row>
    <row r="34" spans="2:10" x14ac:dyDescent="0.2">
      <c r="B34" s="37"/>
      <c r="C34" t="s">
        <v>177</v>
      </c>
      <c r="E34" s="63"/>
      <c r="H34" s="37"/>
      <c r="I34" s="46">
        <f t="shared" ref="I34:I35" si="0">J34/1.5</f>
        <v>1010533.3333333334</v>
      </c>
      <c r="J34" s="66">
        <v>1515800</v>
      </c>
    </row>
    <row r="35" spans="2:10" x14ac:dyDescent="0.2">
      <c r="B35" s="39"/>
      <c r="C35" s="41" t="s">
        <v>178</v>
      </c>
      <c r="D35" s="41"/>
      <c r="E35" s="64"/>
      <c r="F35" s="41"/>
      <c r="G35" s="41"/>
      <c r="H35" s="39"/>
      <c r="I35" s="46">
        <f t="shared" si="0"/>
        <v>1750933.3333333333</v>
      </c>
      <c r="J35" s="75">
        <v>2626400</v>
      </c>
    </row>
    <row r="36" spans="2:10" x14ac:dyDescent="0.2">
      <c r="B36" s="38" t="s">
        <v>232</v>
      </c>
      <c r="C36" s="18"/>
      <c r="D36" s="18"/>
      <c r="E36" s="18"/>
      <c r="F36" s="18"/>
      <c r="G36" s="18"/>
      <c r="H36" s="18"/>
      <c r="I36" s="49">
        <f>SUM(I6:I35)</f>
        <v>108499191.29417606</v>
      </c>
      <c r="J36" s="67">
        <f>SUM(J6:J35)</f>
        <v>177823546.86847311</v>
      </c>
    </row>
    <row r="37" spans="2:10" x14ac:dyDescent="0.2">
      <c r="B37" s="15" t="s">
        <v>173</v>
      </c>
      <c r="C37" t="s">
        <v>180</v>
      </c>
    </row>
    <row r="38" spans="2:10" x14ac:dyDescent="0.2">
      <c r="B38" s="15" t="s">
        <v>179</v>
      </c>
      <c r="C38" t="s">
        <v>174</v>
      </c>
    </row>
  </sheetData>
  <mergeCells count="8">
    <mergeCell ref="P13:Q13"/>
    <mergeCell ref="R13:S13"/>
    <mergeCell ref="P10:Q10"/>
    <mergeCell ref="P11:Q11"/>
    <mergeCell ref="P12:Q12"/>
    <mergeCell ref="R10:S10"/>
    <mergeCell ref="R11:S11"/>
    <mergeCell ref="R12:S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AA6F-82BC-4D50-9C4A-E6D51EF60754}">
  <dimension ref="B2:E24"/>
  <sheetViews>
    <sheetView workbookViewId="0">
      <selection activeCell="J16" sqref="J16"/>
    </sheetView>
  </sheetViews>
  <sheetFormatPr baseColWidth="10" defaultColWidth="8.83203125" defaultRowHeight="15" x14ac:dyDescent="0.2"/>
  <cols>
    <col min="2" max="2" width="15.5" customWidth="1"/>
    <col min="3" max="3" width="17.5" customWidth="1"/>
    <col min="4" max="4" width="20" customWidth="1"/>
    <col min="5" max="5" width="13.83203125" customWidth="1"/>
  </cols>
  <sheetData>
    <row r="2" spans="2:5" x14ac:dyDescent="0.2">
      <c r="B2" s="1" t="s">
        <v>327</v>
      </c>
    </row>
    <row r="3" spans="2:5" x14ac:dyDescent="0.2">
      <c r="B3" s="18" t="s">
        <v>286</v>
      </c>
      <c r="C3" s="18" t="s">
        <v>287</v>
      </c>
      <c r="D3" s="18" t="s">
        <v>288</v>
      </c>
      <c r="E3" s="18" t="s">
        <v>289</v>
      </c>
    </row>
    <row r="4" spans="2:5" x14ac:dyDescent="0.2">
      <c r="B4" t="s">
        <v>4</v>
      </c>
      <c r="C4" t="s">
        <v>290</v>
      </c>
      <c r="D4" t="s">
        <v>291</v>
      </c>
      <c r="E4" t="s">
        <v>4</v>
      </c>
    </row>
    <row r="5" spans="2:5" x14ac:dyDescent="0.2">
      <c r="B5" t="s">
        <v>3</v>
      </c>
      <c r="C5" t="s">
        <v>290</v>
      </c>
      <c r="D5" t="s">
        <v>292</v>
      </c>
      <c r="E5" t="s">
        <v>3</v>
      </c>
    </row>
    <row r="6" spans="2:5" x14ac:dyDescent="0.2">
      <c r="B6" t="s">
        <v>5</v>
      </c>
      <c r="C6" t="s">
        <v>290</v>
      </c>
      <c r="D6" t="s">
        <v>293</v>
      </c>
      <c r="E6" t="s">
        <v>5</v>
      </c>
    </row>
    <row r="7" spans="2:5" x14ac:dyDescent="0.2">
      <c r="B7" t="s">
        <v>7</v>
      </c>
      <c r="C7" t="s">
        <v>290</v>
      </c>
      <c r="D7" t="s">
        <v>294</v>
      </c>
      <c r="E7" t="s">
        <v>7</v>
      </c>
    </row>
    <row r="8" spans="2:5" x14ac:dyDescent="0.2">
      <c r="B8" t="s">
        <v>295</v>
      </c>
      <c r="C8" t="s">
        <v>290</v>
      </c>
      <c r="D8" t="s">
        <v>296</v>
      </c>
      <c r="E8" t="s">
        <v>295</v>
      </c>
    </row>
    <row r="9" spans="2:5" x14ac:dyDescent="0.2">
      <c r="B9" t="s">
        <v>297</v>
      </c>
      <c r="C9" t="s">
        <v>290</v>
      </c>
      <c r="D9" t="s">
        <v>297</v>
      </c>
      <c r="E9" t="s">
        <v>297</v>
      </c>
    </row>
    <row r="10" spans="2:5" x14ac:dyDescent="0.2">
      <c r="B10" t="s">
        <v>298</v>
      </c>
      <c r="C10" t="s">
        <v>290</v>
      </c>
      <c r="D10" t="s">
        <v>298</v>
      </c>
      <c r="E10" t="s">
        <v>299</v>
      </c>
    </row>
    <row r="11" spans="2:5" x14ac:dyDescent="0.2">
      <c r="B11" t="s">
        <v>300</v>
      </c>
      <c r="C11" t="s">
        <v>290</v>
      </c>
      <c r="D11" t="s">
        <v>300</v>
      </c>
      <c r="E11" t="s">
        <v>300</v>
      </c>
    </row>
    <row r="12" spans="2:5" x14ac:dyDescent="0.2">
      <c r="B12" t="s">
        <v>301</v>
      </c>
      <c r="C12" t="s">
        <v>290</v>
      </c>
      <c r="D12" t="s">
        <v>301</v>
      </c>
      <c r="E12" t="s">
        <v>301</v>
      </c>
    </row>
    <row r="13" spans="2:5" x14ac:dyDescent="0.2">
      <c r="B13" t="s">
        <v>302</v>
      </c>
      <c r="C13" t="s">
        <v>290</v>
      </c>
      <c r="D13" t="s">
        <v>15</v>
      </c>
      <c r="E13" t="s">
        <v>15</v>
      </c>
    </row>
    <row r="14" spans="2:5" x14ac:dyDescent="0.2">
      <c r="B14" t="s">
        <v>303</v>
      </c>
      <c r="C14" t="s">
        <v>290</v>
      </c>
      <c r="D14" t="s">
        <v>304</v>
      </c>
      <c r="E14" t="s">
        <v>304</v>
      </c>
    </row>
    <row r="15" spans="2:5" x14ac:dyDescent="0.2">
      <c r="B15" t="s">
        <v>305</v>
      </c>
      <c r="C15" t="s">
        <v>290</v>
      </c>
      <c r="D15" t="s">
        <v>306</v>
      </c>
      <c r="E15" t="s">
        <v>306</v>
      </c>
    </row>
    <row r="16" spans="2:5" x14ac:dyDescent="0.2">
      <c r="B16" t="s">
        <v>307</v>
      </c>
      <c r="C16" t="s">
        <v>290</v>
      </c>
      <c r="D16" t="s">
        <v>308</v>
      </c>
      <c r="E16" t="s">
        <v>308</v>
      </c>
    </row>
    <row r="17" spans="2:5" x14ac:dyDescent="0.2">
      <c r="B17" t="s">
        <v>309</v>
      </c>
      <c r="C17" t="s">
        <v>290</v>
      </c>
      <c r="D17" t="s">
        <v>309</v>
      </c>
      <c r="E17" t="s">
        <v>310</v>
      </c>
    </row>
    <row r="18" spans="2:5" x14ac:dyDescent="0.2">
      <c r="B18" t="s">
        <v>311</v>
      </c>
      <c r="C18" t="s">
        <v>312</v>
      </c>
    </row>
    <row r="19" spans="2:5" x14ac:dyDescent="0.2">
      <c r="B19" t="s">
        <v>313</v>
      </c>
      <c r="C19" t="s">
        <v>290</v>
      </c>
      <c r="D19" t="s">
        <v>314</v>
      </c>
      <c r="E19" t="s">
        <v>315</v>
      </c>
    </row>
    <row r="20" spans="2:5" x14ac:dyDescent="0.2">
      <c r="B20" t="s">
        <v>316</v>
      </c>
      <c r="C20" t="s">
        <v>290</v>
      </c>
      <c r="D20" t="s">
        <v>317</v>
      </c>
      <c r="E20" t="s">
        <v>316</v>
      </c>
    </row>
    <row r="21" spans="2:5" x14ac:dyDescent="0.2">
      <c r="B21" t="s">
        <v>318</v>
      </c>
      <c r="C21" t="s">
        <v>290</v>
      </c>
      <c r="D21" t="s">
        <v>319</v>
      </c>
      <c r="E21" t="s">
        <v>318</v>
      </c>
    </row>
    <row r="22" spans="2:5" x14ac:dyDescent="0.2">
      <c r="B22" t="s">
        <v>320</v>
      </c>
      <c r="C22" t="s">
        <v>290</v>
      </c>
      <c r="D22" t="s">
        <v>321</v>
      </c>
      <c r="E22" t="s">
        <v>320</v>
      </c>
    </row>
    <row r="23" spans="2:5" x14ac:dyDescent="0.2">
      <c r="B23" t="s">
        <v>322</v>
      </c>
      <c r="C23" t="s">
        <v>290</v>
      </c>
      <c r="D23" t="s">
        <v>323</v>
      </c>
      <c r="E23" t="s">
        <v>324</v>
      </c>
    </row>
    <row r="24" spans="2:5" x14ac:dyDescent="0.2">
      <c r="B24" s="41" t="s">
        <v>6</v>
      </c>
      <c r="C24" s="41" t="s">
        <v>290</v>
      </c>
      <c r="D24" s="41" t="s">
        <v>325</v>
      </c>
      <c r="E24" s="41" t="s">
        <v>326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3B01-370A-4CA9-8546-327ECA4774DD}">
  <dimension ref="B2:AA108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3.1640625" customWidth="1"/>
    <col min="3" max="3" width="30" customWidth="1"/>
    <col min="4" max="6" width="11.6640625" customWidth="1"/>
    <col min="7" max="7" width="12.83203125" customWidth="1"/>
    <col min="8" max="8" width="12.6640625" customWidth="1"/>
    <col min="9" max="9" width="12.33203125" customWidth="1"/>
    <col min="10" max="10" width="13.1640625" customWidth="1"/>
    <col min="11" max="27" width="11.6640625" customWidth="1"/>
  </cols>
  <sheetData>
    <row r="2" spans="2:2" x14ac:dyDescent="0.2">
      <c r="B2" s="1" t="s">
        <v>285</v>
      </c>
    </row>
    <row r="22" spans="2:27" x14ac:dyDescent="0.2">
      <c r="B22" s="1" t="s">
        <v>0</v>
      </c>
      <c r="D22" t="s">
        <v>16</v>
      </c>
      <c r="M22" t="s">
        <v>17</v>
      </c>
      <c r="O22">
        <v>0.93400000000000005</v>
      </c>
    </row>
    <row r="24" spans="2:27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55">
        <v>19</v>
      </c>
      <c r="W24" s="55">
        <v>20</v>
      </c>
      <c r="X24" s="55">
        <v>21</v>
      </c>
      <c r="Y24" s="55">
        <v>22</v>
      </c>
      <c r="Z24" s="55">
        <v>23</v>
      </c>
      <c r="AA24" s="55">
        <v>24</v>
      </c>
    </row>
    <row r="25" spans="2:27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57"/>
      <c r="W25" s="57"/>
      <c r="X25" s="57"/>
      <c r="Y25" s="57"/>
      <c r="Z25" s="57"/>
      <c r="AA25" s="57"/>
    </row>
    <row r="26" spans="2:27" x14ac:dyDescent="0.2">
      <c r="C26" s="3" t="s">
        <v>2</v>
      </c>
      <c r="D26" s="3">
        <v>8.0999999999999996E-3</v>
      </c>
      <c r="E26" s="3"/>
      <c r="F26" s="3"/>
      <c r="G26" s="3">
        <v>9.2999999999999992E-3</v>
      </c>
      <c r="H26" s="3">
        <f>G26</f>
        <v>9.2999999999999992E-3</v>
      </c>
      <c r="I26" s="3">
        <v>1.0800000000000001E-2</v>
      </c>
      <c r="J26" s="3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57"/>
      <c r="W26" s="57"/>
      <c r="X26" s="57"/>
      <c r="Y26" s="57"/>
      <c r="Z26" s="57"/>
      <c r="AA26" s="57"/>
    </row>
    <row r="27" spans="2:27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0.1439</v>
      </c>
      <c r="H27" s="3">
        <f t="shared" ref="H27:H32" si="0">G27</f>
        <v>0.1439</v>
      </c>
      <c r="I27" s="3">
        <v>1.6799999999999999E-2</v>
      </c>
      <c r="J27" s="33">
        <v>8.5000000000000006E-2</v>
      </c>
      <c r="K27" s="3">
        <v>0.2092</v>
      </c>
      <c r="L27" s="3"/>
      <c r="M27" s="3">
        <f>K27</f>
        <v>0.2092</v>
      </c>
      <c r="N27" s="3">
        <f>M27</f>
        <v>0.2092</v>
      </c>
      <c r="O27" s="33">
        <v>8.5000000000000006E-2</v>
      </c>
      <c r="P27" s="33">
        <f>J27</f>
        <v>8.5000000000000006E-2</v>
      </c>
      <c r="Q27" s="3">
        <f>N27</f>
        <v>0.2092</v>
      </c>
      <c r="R27" s="33">
        <f>O27</f>
        <v>8.5000000000000006E-2</v>
      </c>
      <c r="S27" s="33">
        <v>7.2999999999999995E-2</v>
      </c>
      <c r="T27" s="3">
        <v>0.98280000000000001</v>
      </c>
      <c r="U27" s="3">
        <v>0.99790000000000001</v>
      </c>
      <c r="V27" s="57"/>
      <c r="W27" s="57"/>
      <c r="X27" s="57"/>
      <c r="Y27" s="57"/>
      <c r="Z27" s="57"/>
      <c r="AA27" s="57"/>
    </row>
    <row r="28" spans="2:27" x14ac:dyDescent="0.2">
      <c r="C28" s="3" t="s">
        <v>278</v>
      </c>
      <c r="D28" s="3"/>
      <c r="E28" s="3"/>
      <c r="F28" s="3"/>
      <c r="G28" s="3"/>
      <c r="H28" s="3">
        <f t="shared" si="0"/>
        <v>0</v>
      </c>
      <c r="I28" s="32">
        <v>1E-4</v>
      </c>
      <c r="J28" s="33">
        <v>0.755</v>
      </c>
      <c r="K28" s="3">
        <v>0.64280000000000004</v>
      </c>
      <c r="L28" s="33">
        <v>1</v>
      </c>
      <c r="M28" s="3">
        <f>K28</f>
        <v>0.64280000000000004</v>
      </c>
      <c r="N28" s="3">
        <f t="shared" ref="N28:N29" si="1">M28</f>
        <v>0.64280000000000004</v>
      </c>
      <c r="O28" s="3">
        <v>0.75529999999999997</v>
      </c>
      <c r="P28" s="33">
        <f t="shared" ref="P28:P29" si="2">J28</f>
        <v>0.755</v>
      </c>
      <c r="Q28" s="3">
        <f t="shared" ref="Q28:R29" si="3">N28</f>
        <v>0.64280000000000004</v>
      </c>
      <c r="R28" s="33">
        <f t="shared" si="3"/>
        <v>0.75529999999999997</v>
      </c>
      <c r="S28" s="33">
        <v>0.113</v>
      </c>
      <c r="T28" s="3"/>
      <c r="U28" s="3"/>
      <c r="V28" s="57"/>
      <c r="W28" s="57"/>
      <c r="X28" s="57"/>
      <c r="Y28" s="57"/>
      <c r="Z28" s="57"/>
      <c r="AA28" s="57"/>
    </row>
    <row r="29" spans="2:27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1.7600000000000001E-2</v>
      </c>
      <c r="H29" s="3">
        <f t="shared" si="0"/>
        <v>1.7600000000000001E-2</v>
      </c>
      <c r="I29" s="3">
        <v>7.4000000000000003E-3</v>
      </c>
      <c r="J29" s="33">
        <v>0.16</v>
      </c>
      <c r="K29" s="33">
        <v>0.14799999999999999</v>
      </c>
      <c r="L29" s="3"/>
      <c r="M29" s="33">
        <f>K29</f>
        <v>0.14799999999999999</v>
      </c>
      <c r="N29" s="3">
        <f t="shared" si="1"/>
        <v>0.14799999999999999</v>
      </c>
      <c r="O29" s="33">
        <v>0.16</v>
      </c>
      <c r="P29" s="33">
        <f t="shared" si="2"/>
        <v>0.16</v>
      </c>
      <c r="Q29" s="33">
        <f t="shared" si="3"/>
        <v>0.14799999999999999</v>
      </c>
      <c r="R29" s="33">
        <f t="shared" si="3"/>
        <v>0.16</v>
      </c>
      <c r="S29" s="33">
        <v>0.81399999999999995</v>
      </c>
      <c r="T29" s="3">
        <v>1.6899999999999998E-2</v>
      </c>
      <c r="U29" s="33">
        <v>1.9E-3</v>
      </c>
      <c r="V29" s="58">
        <v>1</v>
      </c>
      <c r="W29" s="58">
        <v>1</v>
      </c>
      <c r="X29" s="57"/>
      <c r="Y29" s="57"/>
      <c r="Z29" s="57"/>
      <c r="AA29" s="57"/>
    </row>
    <row r="30" spans="2:27" x14ac:dyDescent="0.2">
      <c r="C30" s="3" t="s">
        <v>5</v>
      </c>
      <c r="D30" s="3">
        <v>0.68130000000000002</v>
      </c>
      <c r="E30" s="3"/>
      <c r="F30" s="3"/>
      <c r="G30" s="33">
        <v>0.78700000000000003</v>
      </c>
      <c r="H30" s="3">
        <f t="shared" si="0"/>
        <v>0.78700000000000003</v>
      </c>
      <c r="I30" s="3">
        <v>0.91569999999999996</v>
      </c>
      <c r="J30" s="33"/>
      <c r="K30" s="3"/>
      <c r="L30" s="3"/>
      <c r="M30" s="3"/>
      <c r="N30" s="3"/>
      <c r="O30" s="3"/>
      <c r="P30" s="3"/>
      <c r="Q30" s="3"/>
      <c r="R30" s="3"/>
      <c r="S30" s="3"/>
      <c r="T30" s="3">
        <v>2.0000000000000001E-4</v>
      </c>
      <c r="U30" s="3">
        <v>2.0000000000000001E-4</v>
      </c>
      <c r="V30" s="57"/>
      <c r="W30" s="57"/>
      <c r="X30" s="57"/>
      <c r="Y30" s="57"/>
      <c r="Z30" s="57"/>
      <c r="AA30" s="57"/>
    </row>
    <row r="31" spans="2:27" x14ac:dyDescent="0.2">
      <c r="C31" s="3" t="s">
        <v>6</v>
      </c>
      <c r="D31" s="3"/>
      <c r="E31" s="3"/>
      <c r="F31" s="3"/>
      <c r="G31" s="3"/>
      <c r="H31" s="3">
        <f t="shared" si="0"/>
        <v>0</v>
      </c>
      <c r="I31" s="3"/>
      <c r="J31" s="3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7"/>
      <c r="W31" s="57"/>
      <c r="X31" s="58">
        <v>1</v>
      </c>
      <c r="Y31" s="58">
        <v>1</v>
      </c>
      <c r="Z31" s="58">
        <v>1</v>
      </c>
      <c r="AA31" s="58">
        <v>1</v>
      </c>
    </row>
    <row r="32" spans="2:27" x14ac:dyDescent="0.2">
      <c r="C32" s="3" t="s">
        <v>7</v>
      </c>
      <c r="D32" s="3">
        <v>3.6600000000000001E-2</v>
      </c>
      <c r="E32" s="3"/>
      <c r="F32" s="3"/>
      <c r="G32" s="3">
        <v>4.2200000000000001E-2</v>
      </c>
      <c r="H32" s="3">
        <f t="shared" si="0"/>
        <v>4.2200000000000001E-2</v>
      </c>
      <c r="I32" s="3">
        <v>4.9200000000000001E-2</v>
      </c>
      <c r="J32" s="3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57"/>
      <c r="W32" s="57"/>
      <c r="X32" s="57"/>
      <c r="Y32" s="57"/>
      <c r="Z32" s="57"/>
      <c r="AA32" s="57"/>
    </row>
    <row r="33" spans="2:27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8"/>
      <c r="W33" s="58"/>
      <c r="X33" s="57"/>
      <c r="Y33" s="57"/>
      <c r="Z33" s="57"/>
      <c r="AA33" s="57"/>
    </row>
    <row r="34" spans="2:27" x14ac:dyDescent="0.2">
      <c r="C34" s="3" t="s">
        <v>8</v>
      </c>
      <c r="D34" s="31">
        <f>116568*O22</f>
        <v>108874.512</v>
      </c>
      <c r="E34" s="31">
        <f>1559.4*O22</f>
        <v>1456.4796000000001</v>
      </c>
      <c r="F34" s="31">
        <f>O22*14087.4</f>
        <v>13157.631600000001</v>
      </c>
      <c r="G34" s="31">
        <f>100921*O22</f>
        <v>94260.214000000007</v>
      </c>
      <c r="H34" s="31">
        <f>G34</f>
        <v>94260.214000000007</v>
      </c>
      <c r="I34" s="31">
        <f>86728*O22</f>
        <v>81003.952000000005</v>
      </c>
      <c r="J34" s="31">
        <f>81317.3*O22</f>
        <v>75950.358200000002</v>
      </c>
      <c r="K34" s="31">
        <f>95511*O22</f>
        <v>89207.274000000005</v>
      </c>
      <c r="L34" s="31">
        <f>L35/L41</f>
        <v>3.6298243992606287</v>
      </c>
      <c r="M34" s="31">
        <f>K34</f>
        <v>89207.274000000005</v>
      </c>
      <c r="N34" s="31">
        <f>85959.8*O22</f>
        <v>80286.453200000004</v>
      </c>
      <c r="O34" s="31">
        <f>81282.3*O22</f>
        <v>75917.6682</v>
      </c>
      <c r="P34" s="31">
        <f>J34</f>
        <v>75950.358200000002</v>
      </c>
      <c r="Q34" s="31">
        <f>9551.1*O22</f>
        <v>8920.7274000000016</v>
      </c>
      <c r="R34" s="31">
        <f>O34</f>
        <v>75917.6682</v>
      </c>
      <c r="S34" s="31">
        <f>35.1*O22</f>
        <v>32.7834</v>
      </c>
      <c r="T34" s="31">
        <f>13308.5*O22</f>
        <v>12430.139000000001</v>
      </c>
      <c r="U34" s="31">
        <f>13107.4*O22</f>
        <v>12242.311600000001</v>
      </c>
      <c r="V34" s="59">
        <f>32650*O22</f>
        <v>30495.100000000002</v>
      </c>
      <c r="W34" s="59">
        <f>V34</f>
        <v>30495.100000000002</v>
      </c>
      <c r="X34" s="59">
        <f>5181*O22</f>
        <v>4839.0540000000001</v>
      </c>
      <c r="Y34" s="59">
        <f>X34</f>
        <v>4839.0540000000001</v>
      </c>
      <c r="Z34" s="59">
        <f t="shared" ref="Z34:AA35" si="4">Y34</f>
        <v>4839.0540000000001</v>
      </c>
      <c r="AA34" s="59">
        <f t="shared" si="4"/>
        <v>4839.0540000000001</v>
      </c>
    </row>
    <row r="35" spans="2:27" x14ac:dyDescent="0.2">
      <c r="C35" s="3" t="s">
        <v>9</v>
      </c>
      <c r="D35" s="31">
        <f>3351890*O22</f>
        <v>3130665.2600000002</v>
      </c>
      <c r="E35" s="31">
        <f>28098.1*O22</f>
        <v>26243.625400000001</v>
      </c>
      <c r="F35" s="31">
        <f>O22*253822</f>
        <v>237069.74800000002</v>
      </c>
      <c r="G35" s="31">
        <f>3069970*O22</f>
        <v>2867351.98</v>
      </c>
      <c r="H35" s="31">
        <f>G35</f>
        <v>2867351.98</v>
      </c>
      <c r="I35" s="31">
        <f>2476530*O22</f>
        <v>2313079.02</v>
      </c>
      <c r="J35" s="31">
        <f>13820700*O22</f>
        <v>12908533.800000001</v>
      </c>
      <c r="K35" s="31">
        <f>14414100*O22</f>
        <v>13462769.4</v>
      </c>
      <c r="L35" s="31">
        <f>841*O22</f>
        <v>785.49400000000003</v>
      </c>
      <c r="M35" s="31">
        <f>K35</f>
        <v>13462769.4</v>
      </c>
      <c r="N35" s="31">
        <f>12972700*O22</f>
        <v>12116501.800000001</v>
      </c>
      <c r="O35" s="31">
        <f>13819200*O22</f>
        <v>12907132.800000001</v>
      </c>
      <c r="P35" s="31">
        <f>J35</f>
        <v>12908533.800000001</v>
      </c>
      <c r="Q35" s="31">
        <f>14414100*O22</f>
        <v>13462769.4</v>
      </c>
      <c r="R35" s="31">
        <f>O35</f>
        <v>12907132.800000001</v>
      </c>
      <c r="S35" s="31">
        <f>1484.7*O22</f>
        <v>1386.7098000000001</v>
      </c>
      <c r="T35" s="31">
        <f>579793*O22</f>
        <v>541526.66200000001</v>
      </c>
      <c r="U35" s="31">
        <f>576169*O22</f>
        <v>538141.84600000002</v>
      </c>
      <c r="V35" s="59">
        <f>588199*O22</f>
        <v>549377.86600000004</v>
      </c>
      <c r="W35" s="59">
        <f>V35</f>
        <v>549377.86600000004</v>
      </c>
      <c r="X35" s="59">
        <f>88236*O22</f>
        <v>82412.423999999999</v>
      </c>
      <c r="Y35" s="59">
        <f>X35</f>
        <v>82412.423999999999</v>
      </c>
      <c r="Z35" s="59">
        <f t="shared" si="4"/>
        <v>82412.423999999999</v>
      </c>
      <c r="AA35" s="59">
        <f t="shared" si="4"/>
        <v>82412.423999999999</v>
      </c>
    </row>
    <row r="36" spans="2:2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57"/>
      <c r="W36" s="57"/>
      <c r="X36" s="57"/>
      <c r="Y36" s="57"/>
      <c r="Z36" s="57"/>
      <c r="AA36" s="57"/>
    </row>
    <row r="37" spans="2:27" x14ac:dyDescent="0.2">
      <c r="C37" s="3" t="s">
        <v>10</v>
      </c>
      <c r="D37" s="3">
        <v>56.2</v>
      </c>
      <c r="E37" s="3">
        <v>15.6</v>
      </c>
      <c r="F37" s="3">
        <v>25.6</v>
      </c>
      <c r="G37" s="3">
        <f>E37</f>
        <v>15.6</v>
      </c>
      <c r="H37" s="3">
        <v>24</v>
      </c>
      <c r="I37" s="3">
        <v>32.200000000000003</v>
      </c>
      <c r="J37" s="3">
        <v>23.9</v>
      </c>
      <c r="K37" s="3">
        <v>38.9</v>
      </c>
      <c r="L37" s="3">
        <v>23.9</v>
      </c>
      <c r="M37" s="3">
        <v>39</v>
      </c>
      <c r="N37" s="3">
        <v>81.099999999999994</v>
      </c>
      <c r="O37" s="3">
        <v>95.7</v>
      </c>
      <c r="P37" s="3">
        <v>43</v>
      </c>
      <c r="Q37" s="3">
        <f>M37</f>
        <v>39</v>
      </c>
      <c r="R37" s="3">
        <v>95.7</v>
      </c>
      <c r="S37" s="3">
        <v>30</v>
      </c>
      <c r="T37" s="3">
        <v>30</v>
      </c>
      <c r="U37" s="3">
        <v>44.1</v>
      </c>
      <c r="V37" s="57">
        <v>150.4</v>
      </c>
      <c r="W37" s="57">
        <v>105.7</v>
      </c>
      <c r="X37" s="57">
        <v>10.5</v>
      </c>
      <c r="Y37" s="57">
        <v>62</v>
      </c>
      <c r="Z37" s="57">
        <v>28.9</v>
      </c>
      <c r="AA37" s="57">
        <v>10</v>
      </c>
    </row>
    <row r="38" spans="2:27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</v>
      </c>
      <c r="J38" s="3">
        <v>1.5</v>
      </c>
      <c r="K38" s="3">
        <v>1.1000000000000001</v>
      </c>
      <c r="L38" s="3">
        <v>1.5</v>
      </c>
      <c r="M38" s="3">
        <v>6.5</v>
      </c>
      <c r="N38" s="3">
        <v>6</v>
      </c>
      <c r="O38" s="3">
        <v>6</v>
      </c>
      <c r="P38" s="3">
        <v>1.5</v>
      </c>
      <c r="Q38" s="3">
        <f>M38</f>
        <v>6.5</v>
      </c>
      <c r="R38" s="3">
        <v>2.4</v>
      </c>
      <c r="S38" s="3">
        <v>3.9</v>
      </c>
      <c r="T38" s="3">
        <v>2.2000000000000002</v>
      </c>
      <c r="U38" s="3">
        <v>152.69999999999999</v>
      </c>
      <c r="V38" s="57">
        <v>1.4</v>
      </c>
      <c r="W38" s="57">
        <v>1.2</v>
      </c>
      <c r="X38" s="57">
        <v>6.2</v>
      </c>
      <c r="Y38" s="57">
        <v>11.5</v>
      </c>
      <c r="Z38" s="57">
        <v>11.5</v>
      </c>
      <c r="AA38" s="57">
        <v>6.2</v>
      </c>
    </row>
    <row r="39" spans="2:27" x14ac:dyDescent="0.2">
      <c r="C39" s="3" t="s">
        <v>12</v>
      </c>
      <c r="D39" s="34">
        <v>-2959</v>
      </c>
      <c r="E39" s="34">
        <v>-15923</v>
      </c>
      <c r="F39" s="34">
        <v>-15872</v>
      </c>
      <c r="G39" s="34">
        <v>-2012</v>
      </c>
      <c r="H39" s="34">
        <v>-2004</v>
      </c>
      <c r="I39" s="34">
        <v>-288</v>
      </c>
      <c r="J39" s="34">
        <v>-2762.2</v>
      </c>
      <c r="K39" s="34">
        <v>-2957</v>
      </c>
      <c r="L39" s="34">
        <v>-2342.8000000000002</v>
      </c>
      <c r="M39" s="34">
        <v>-3078</v>
      </c>
      <c r="N39" s="34">
        <v>-2939</v>
      </c>
      <c r="O39" s="34">
        <v>-2588</v>
      </c>
      <c r="P39" s="34">
        <v>-2720</v>
      </c>
      <c r="Q39" s="3">
        <f>M39</f>
        <v>-3078</v>
      </c>
      <c r="R39" s="34">
        <v>-2588</v>
      </c>
      <c r="S39" s="34">
        <v>-7659</v>
      </c>
      <c r="T39" s="34">
        <v>-8974.7999999999993</v>
      </c>
      <c r="U39" s="34">
        <v>-9157.4</v>
      </c>
      <c r="V39" s="60">
        <v>-13206.7</v>
      </c>
      <c r="W39" s="60">
        <v>-15537.3</v>
      </c>
      <c r="X39" s="60">
        <v>-2764.2</v>
      </c>
      <c r="Y39" s="60">
        <v>-2656</v>
      </c>
      <c r="Z39" s="60">
        <v>-3901</v>
      </c>
      <c r="AA39" s="60">
        <v>-3901</v>
      </c>
    </row>
    <row r="40" spans="2:27" x14ac:dyDescent="0.2">
      <c r="C40" s="3" t="s">
        <v>13</v>
      </c>
      <c r="D40" s="3">
        <v>1.1100000000000001</v>
      </c>
      <c r="E40" s="3">
        <v>998.9</v>
      </c>
      <c r="F40" s="3">
        <v>996.8</v>
      </c>
      <c r="G40" s="3">
        <v>1.29</v>
      </c>
      <c r="H40" s="3">
        <v>1.36</v>
      </c>
      <c r="I40" s="3">
        <v>1.1200000000000001</v>
      </c>
      <c r="J40" s="3">
        <v>966.4</v>
      </c>
      <c r="K40" s="3">
        <v>1056.5999999999999</v>
      </c>
      <c r="L40" s="3">
        <v>933.3</v>
      </c>
      <c r="M40" s="3">
        <v>1056.8</v>
      </c>
      <c r="N40" s="3">
        <v>1029.9000000000001</v>
      </c>
      <c r="O40" s="3">
        <v>937.1</v>
      </c>
      <c r="P40" s="3">
        <v>963.3</v>
      </c>
      <c r="Q40" s="3">
        <f>M40</f>
        <v>1056.8</v>
      </c>
      <c r="R40" s="3">
        <v>937.2</v>
      </c>
      <c r="S40" s="3">
        <v>995.2</v>
      </c>
      <c r="T40" s="3">
        <v>3.81</v>
      </c>
      <c r="U40" s="3">
        <v>489.4</v>
      </c>
      <c r="V40" s="57">
        <v>0.6</v>
      </c>
      <c r="W40" s="57">
        <v>960.7</v>
      </c>
      <c r="X40" s="57">
        <v>4.8600000000000003</v>
      </c>
      <c r="Y40" s="57">
        <v>7.63</v>
      </c>
      <c r="Z40" s="57">
        <v>597.1</v>
      </c>
      <c r="AA40" s="57">
        <v>60.5</v>
      </c>
    </row>
    <row r="41" spans="2:27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30.42</v>
      </c>
      <c r="H41" s="3">
        <f>G41</f>
        <v>30.42</v>
      </c>
      <c r="I41" s="3">
        <v>28.55</v>
      </c>
      <c r="J41" s="3">
        <v>170</v>
      </c>
      <c r="K41" s="3">
        <v>150.9</v>
      </c>
      <c r="L41" s="3">
        <v>216.4</v>
      </c>
      <c r="M41" s="3">
        <f>K41</f>
        <v>150.9</v>
      </c>
      <c r="N41" s="3">
        <f>M41</f>
        <v>150.9</v>
      </c>
      <c r="O41" s="3">
        <v>170</v>
      </c>
      <c r="P41" s="3">
        <f>J41</f>
        <v>170</v>
      </c>
      <c r="Q41" s="3">
        <f>M41</f>
        <v>150.9</v>
      </c>
      <c r="R41" s="3">
        <f>O41</f>
        <v>170</v>
      </c>
      <c r="S41" s="3">
        <v>42.3</v>
      </c>
      <c r="T41" s="3">
        <v>43.57</v>
      </c>
      <c r="U41" s="3">
        <v>44</v>
      </c>
      <c r="V41" s="57">
        <v>18.010000000000002</v>
      </c>
      <c r="W41" s="57">
        <v>18.010000000000002</v>
      </c>
      <c r="X41" s="57">
        <v>17.03</v>
      </c>
      <c r="Y41" s="57">
        <v>17.03</v>
      </c>
      <c r="Z41" s="57">
        <v>17.03</v>
      </c>
      <c r="AA41" s="57">
        <v>17.03</v>
      </c>
    </row>
    <row r="43" spans="2:27" x14ac:dyDescent="0.2">
      <c r="B43" s="1" t="s">
        <v>132</v>
      </c>
      <c r="D43" t="s">
        <v>199</v>
      </c>
    </row>
    <row r="45" spans="2:27" x14ac:dyDescent="0.2">
      <c r="C45" s="53" t="s">
        <v>138</v>
      </c>
      <c r="D45" s="18"/>
      <c r="E45" s="42"/>
    </row>
    <row r="46" spans="2:27" x14ac:dyDescent="0.2">
      <c r="C46" s="37" t="s">
        <v>133</v>
      </c>
      <c r="D46" s="7">
        <f>2641*O22</f>
        <v>2466.694</v>
      </c>
      <c r="E46" s="36" t="s">
        <v>139</v>
      </c>
    </row>
    <row r="47" spans="2:27" x14ac:dyDescent="0.2">
      <c r="C47" s="37" t="s">
        <v>134</v>
      </c>
      <c r="D47" s="7">
        <f>D90</f>
        <v>1617.5759772872095</v>
      </c>
      <c r="E47" s="36" t="s">
        <v>139</v>
      </c>
    </row>
    <row r="48" spans="2:27" x14ac:dyDescent="0.2">
      <c r="C48" s="37" t="s">
        <v>135</v>
      </c>
      <c r="D48" s="7">
        <f>D89</f>
        <v>2226.2860914686639</v>
      </c>
      <c r="E48" s="36" t="s">
        <v>139</v>
      </c>
    </row>
    <row r="49" spans="2:8" x14ac:dyDescent="0.2">
      <c r="C49" s="37" t="s">
        <v>136</v>
      </c>
      <c r="D49" s="7">
        <f>D88</f>
        <v>3451.1506869540185</v>
      </c>
      <c r="E49" s="36" t="s">
        <v>139</v>
      </c>
    </row>
    <row r="50" spans="2:8" x14ac:dyDescent="0.2">
      <c r="C50" s="37" t="s">
        <v>172</v>
      </c>
      <c r="D50" s="7">
        <f>D91</f>
        <v>0.67251497216567302</v>
      </c>
      <c r="E50" s="36" t="s">
        <v>139</v>
      </c>
    </row>
    <row r="51" spans="2:8" x14ac:dyDescent="0.2">
      <c r="C51" s="37" t="s">
        <v>137</v>
      </c>
      <c r="D51" s="7">
        <f>D65</f>
        <v>6686</v>
      </c>
      <c r="E51" s="36" t="s">
        <v>139</v>
      </c>
    </row>
    <row r="52" spans="2:8" x14ac:dyDescent="0.2">
      <c r="C52" s="39" t="s">
        <v>141</v>
      </c>
      <c r="D52" s="52">
        <f>D102</f>
        <v>39018</v>
      </c>
      <c r="E52" s="40" t="s">
        <v>139</v>
      </c>
    </row>
    <row r="54" spans="2:8" x14ac:dyDescent="0.2">
      <c r="C54" s="53" t="s">
        <v>140</v>
      </c>
      <c r="D54" s="18"/>
      <c r="E54" s="42"/>
    </row>
    <row r="55" spans="2:8" x14ac:dyDescent="0.2">
      <c r="C55" s="37" t="s">
        <v>144</v>
      </c>
      <c r="D55" s="35">
        <f>(209.5+3.9)*O22</f>
        <v>199.31560000000002</v>
      </c>
      <c r="E55" s="36" t="s">
        <v>142</v>
      </c>
    </row>
    <row r="56" spans="2:8" x14ac:dyDescent="0.2">
      <c r="C56" s="37" t="s">
        <v>143</v>
      </c>
      <c r="D56" s="35">
        <f>D69+D70</f>
        <v>724.12676008509857</v>
      </c>
      <c r="E56" s="36" t="s">
        <v>142</v>
      </c>
    </row>
    <row r="57" spans="2:8" x14ac:dyDescent="0.2">
      <c r="C57" s="37" t="s">
        <v>145</v>
      </c>
      <c r="D57" s="35">
        <f>D72</f>
        <v>550.17142204872277</v>
      </c>
      <c r="E57" s="36" t="s">
        <v>142</v>
      </c>
    </row>
    <row r="58" spans="2:8" x14ac:dyDescent="0.2">
      <c r="C58" s="37" t="s">
        <v>146</v>
      </c>
      <c r="D58" s="35">
        <f>D74</f>
        <v>27.250867101296539</v>
      </c>
      <c r="E58" s="36" t="s">
        <v>142</v>
      </c>
    </row>
    <row r="59" spans="2:8" x14ac:dyDescent="0.2">
      <c r="C59" s="39" t="s">
        <v>147</v>
      </c>
      <c r="D59" s="54">
        <f>D67</f>
        <v>681.38843360397004</v>
      </c>
      <c r="E59" s="40" t="s">
        <v>142</v>
      </c>
    </row>
    <row r="61" spans="2:8" x14ac:dyDescent="0.2">
      <c r="B61" s="1" t="s">
        <v>150</v>
      </c>
    </row>
    <row r="63" spans="2:8" x14ac:dyDescent="0.2">
      <c r="B63" s="43" t="s">
        <v>189</v>
      </c>
      <c r="C63" s="44"/>
      <c r="D63" s="43" t="s">
        <v>148</v>
      </c>
      <c r="E63" s="44"/>
      <c r="F63" s="43" t="s">
        <v>154</v>
      </c>
      <c r="G63" s="43" t="s">
        <v>169</v>
      </c>
      <c r="H63" s="45"/>
    </row>
    <row r="64" spans="2:8" x14ac:dyDescent="0.2">
      <c r="B64" s="37" t="s">
        <v>149</v>
      </c>
      <c r="C64" s="36"/>
      <c r="F64" s="37"/>
      <c r="G64" s="37"/>
      <c r="H64" s="36"/>
    </row>
    <row r="65" spans="2:8" x14ac:dyDescent="0.2">
      <c r="B65" s="37"/>
      <c r="C65" s="36" t="s">
        <v>137</v>
      </c>
      <c r="D65" s="15">
        <v>6686</v>
      </c>
      <c r="E65" t="s">
        <v>139</v>
      </c>
      <c r="F65" s="37"/>
      <c r="G65" s="46">
        <v>9734153.1930128317</v>
      </c>
      <c r="H65" s="36"/>
    </row>
    <row r="66" spans="2:8" x14ac:dyDescent="0.2">
      <c r="B66" s="37" t="s">
        <v>156</v>
      </c>
      <c r="C66" s="36"/>
      <c r="D66" s="15"/>
      <c r="F66" s="37"/>
      <c r="G66" s="37"/>
      <c r="H66" s="36"/>
    </row>
    <row r="67" spans="2:8" x14ac:dyDescent="0.2">
      <c r="B67" s="37"/>
      <c r="C67" s="36" t="s">
        <v>147</v>
      </c>
      <c r="D67" s="48">
        <v>681.38843360397004</v>
      </c>
      <c r="E67" t="s">
        <v>142</v>
      </c>
      <c r="F67" s="37"/>
      <c r="G67" s="46">
        <v>9375789.440131614</v>
      </c>
      <c r="H67" s="36"/>
    </row>
    <row r="68" spans="2:8" x14ac:dyDescent="0.2">
      <c r="B68" s="37"/>
      <c r="C68" s="36" t="s">
        <v>170</v>
      </c>
      <c r="D68" s="48">
        <v>93.717763517003888</v>
      </c>
      <c r="E68" t="s">
        <v>142</v>
      </c>
      <c r="F68" s="37"/>
      <c r="G68" s="46">
        <v>294503.27760189661</v>
      </c>
      <c r="H68" s="36"/>
    </row>
    <row r="69" spans="2:8" x14ac:dyDescent="0.2">
      <c r="B69" s="37"/>
      <c r="C69" s="36" t="s">
        <v>157</v>
      </c>
      <c r="D69" s="48">
        <v>337.18406226670919</v>
      </c>
      <c r="E69" t="s">
        <v>142</v>
      </c>
      <c r="F69" s="37"/>
      <c r="G69" s="46">
        <v>2697905.8966712914</v>
      </c>
      <c r="H69" s="36"/>
    </row>
    <row r="70" spans="2:8" x14ac:dyDescent="0.2">
      <c r="B70" s="37"/>
      <c r="C70" s="36" t="s">
        <v>158</v>
      </c>
      <c r="D70" s="48">
        <v>386.94269781838938</v>
      </c>
      <c r="E70" t="s">
        <v>142</v>
      </c>
      <c r="F70" s="37"/>
      <c r="G70" s="46">
        <v>3017350.5084499861</v>
      </c>
      <c r="H70" s="36"/>
    </row>
    <row r="71" spans="2:8" x14ac:dyDescent="0.2">
      <c r="B71" s="37"/>
      <c r="C71" s="36" t="s">
        <v>159</v>
      </c>
      <c r="D71" s="48">
        <v>1694.3174079998923</v>
      </c>
      <c r="E71" t="s">
        <v>142</v>
      </c>
      <c r="F71" s="37"/>
      <c r="G71" s="46">
        <v>16140359.331976151</v>
      </c>
      <c r="H71" s="36"/>
    </row>
    <row r="72" spans="2:8" x14ac:dyDescent="0.2">
      <c r="B72" s="37"/>
      <c r="C72" s="36" t="s">
        <v>171</v>
      </c>
      <c r="D72" s="48">
        <v>550.17142204872277</v>
      </c>
      <c r="E72" t="s">
        <v>142</v>
      </c>
      <c r="F72" s="37"/>
      <c r="G72" s="46">
        <v>5878901.7150149252</v>
      </c>
      <c r="H72" s="36"/>
    </row>
    <row r="73" spans="2:8" x14ac:dyDescent="0.2">
      <c r="B73" s="37"/>
      <c r="C73" s="36" t="s">
        <v>160</v>
      </c>
      <c r="D73" s="48">
        <v>1280.4591665177168</v>
      </c>
      <c r="E73" t="s">
        <v>142</v>
      </c>
      <c r="F73" s="37"/>
      <c r="G73" s="46">
        <v>14320233.776563864</v>
      </c>
      <c r="H73" s="36"/>
    </row>
    <row r="74" spans="2:8" x14ac:dyDescent="0.2">
      <c r="B74" s="37"/>
      <c r="C74" s="36" t="s">
        <v>146</v>
      </c>
      <c r="D74" s="48">
        <v>27.250867101296539</v>
      </c>
      <c r="E74" t="s">
        <v>142</v>
      </c>
      <c r="F74" s="37"/>
      <c r="G74" s="46">
        <v>88466.24875125465</v>
      </c>
      <c r="H74" s="36"/>
    </row>
    <row r="75" spans="2:8" x14ac:dyDescent="0.2">
      <c r="B75" s="37"/>
      <c r="C75" s="36" t="s">
        <v>161</v>
      </c>
      <c r="D75" s="48">
        <f>22*O22</f>
        <v>20.548000000000002</v>
      </c>
      <c r="E75" t="s">
        <v>142</v>
      </c>
      <c r="F75" s="37"/>
      <c r="G75" s="46">
        <v>70263</v>
      </c>
      <c r="H75" s="36"/>
    </row>
    <row r="76" spans="2:8" x14ac:dyDescent="0.2">
      <c r="B76" s="37" t="s">
        <v>183</v>
      </c>
      <c r="C76" s="36"/>
      <c r="F76" s="37"/>
      <c r="G76" s="37"/>
      <c r="H76" s="36"/>
    </row>
    <row r="77" spans="2:8" x14ac:dyDescent="0.2">
      <c r="B77" s="37"/>
      <c r="C77" s="36" t="s">
        <v>184</v>
      </c>
      <c r="D77" s="48">
        <f>19.6*O22^0.5</f>
        <v>18.942160383652126</v>
      </c>
      <c r="E77" t="s">
        <v>176</v>
      </c>
      <c r="F77" s="37"/>
      <c r="G77" s="46">
        <v>16853270.374296207</v>
      </c>
      <c r="H77" s="36"/>
    </row>
    <row r="78" spans="2:8" x14ac:dyDescent="0.2">
      <c r="B78" s="37"/>
      <c r="C78" s="36"/>
      <c r="D78" s="35">
        <v>16</v>
      </c>
      <c r="E78" t="s">
        <v>175</v>
      </c>
      <c r="F78" s="37"/>
      <c r="G78" s="37"/>
      <c r="H78" s="36"/>
    </row>
    <row r="79" spans="2:8" x14ac:dyDescent="0.2">
      <c r="B79" s="37"/>
      <c r="C79" s="36" t="s">
        <v>185</v>
      </c>
      <c r="D79" s="35">
        <f>23.4*O22^0.5</f>
        <v>22.614620049870393</v>
      </c>
      <c r="E79" t="s">
        <v>176</v>
      </c>
      <c r="F79" s="37"/>
      <c r="G79" s="46">
        <v>24557622.545403045</v>
      </c>
      <c r="H79" s="36"/>
    </row>
    <row r="80" spans="2:8" x14ac:dyDescent="0.2">
      <c r="B80" s="37"/>
      <c r="C80" s="36"/>
      <c r="D80" s="35">
        <v>19.8</v>
      </c>
      <c r="E80" t="s">
        <v>175</v>
      </c>
      <c r="F80" s="37"/>
      <c r="G80" s="37"/>
      <c r="H80" s="36"/>
    </row>
    <row r="81" spans="2:8" x14ac:dyDescent="0.2">
      <c r="B81" s="37"/>
      <c r="C81" s="36" t="s">
        <v>186</v>
      </c>
      <c r="D81" s="35">
        <f>11.6*O22^0.5</f>
        <v>11.210666349508401</v>
      </c>
      <c r="E81" t="s">
        <v>176</v>
      </c>
      <c r="F81" s="37"/>
      <c r="G81" s="46">
        <v>8363837.6732179774</v>
      </c>
      <c r="H81" s="36"/>
    </row>
    <row r="82" spans="2:8" x14ac:dyDescent="0.2">
      <c r="B82" s="37"/>
      <c r="C82" s="36"/>
      <c r="D82" s="35">
        <v>12</v>
      </c>
      <c r="E82" t="s">
        <v>175</v>
      </c>
      <c r="F82" s="37"/>
      <c r="G82" s="46"/>
      <c r="H82" s="36"/>
    </row>
    <row r="83" spans="2:8" x14ac:dyDescent="0.2">
      <c r="B83" s="37"/>
      <c r="C83" s="36" t="s">
        <v>162</v>
      </c>
      <c r="F83" s="37"/>
      <c r="G83" s="46">
        <v>385374.37705827598</v>
      </c>
      <c r="H83" s="36"/>
    </row>
    <row r="84" spans="2:8" x14ac:dyDescent="0.2">
      <c r="B84" s="37"/>
      <c r="C84" s="36" t="s">
        <v>235</v>
      </c>
      <c r="F84" s="37"/>
      <c r="G84" s="46">
        <v>55501.871751116414</v>
      </c>
      <c r="H84" s="36"/>
    </row>
    <row r="85" spans="2:8" x14ac:dyDescent="0.2">
      <c r="B85" s="37" t="s">
        <v>163</v>
      </c>
      <c r="C85" s="36"/>
      <c r="F85" s="37"/>
      <c r="G85" s="37"/>
      <c r="H85" s="36"/>
    </row>
    <row r="86" spans="2:8" x14ac:dyDescent="0.2">
      <c r="B86" s="37"/>
      <c r="C86" s="36" t="s">
        <v>164</v>
      </c>
      <c r="D86" s="56">
        <v>681.38843360397004</v>
      </c>
      <c r="E86" t="s">
        <v>139</v>
      </c>
      <c r="F86" s="37">
        <v>1</v>
      </c>
      <c r="G86" s="46">
        <v>4771999.838164662</v>
      </c>
      <c r="H86" s="36"/>
    </row>
    <row r="87" spans="2:8" x14ac:dyDescent="0.2">
      <c r="B87" s="37"/>
      <c r="C87" s="36" t="s">
        <v>165</v>
      </c>
      <c r="D87" s="56">
        <v>93.717763517003888</v>
      </c>
      <c r="E87" t="s">
        <v>139</v>
      </c>
      <c r="F87" s="37">
        <v>1</v>
      </c>
      <c r="G87" s="46">
        <v>164123.47297339226</v>
      </c>
      <c r="H87" s="36"/>
    </row>
    <row r="88" spans="2:8" x14ac:dyDescent="0.2">
      <c r="B88" s="37"/>
      <c r="C88" s="36" t="s">
        <v>136</v>
      </c>
      <c r="D88" s="56">
        <v>3451.1506869540185</v>
      </c>
      <c r="E88" t="s">
        <v>139</v>
      </c>
      <c r="F88" s="37">
        <v>1</v>
      </c>
      <c r="G88" s="46">
        <v>90532.395064676006</v>
      </c>
      <c r="H88" s="36"/>
    </row>
    <row r="89" spans="2:8" x14ac:dyDescent="0.2">
      <c r="B89" s="37"/>
      <c r="C89" s="36" t="s">
        <v>135</v>
      </c>
      <c r="D89" s="56">
        <v>2226.2860914686639</v>
      </c>
      <c r="E89" t="s">
        <v>139</v>
      </c>
      <c r="F89" s="37">
        <v>1</v>
      </c>
      <c r="G89" s="46">
        <v>4228233.3607696975</v>
      </c>
      <c r="H89" s="36"/>
    </row>
    <row r="90" spans="2:8" x14ac:dyDescent="0.2">
      <c r="B90" s="37"/>
      <c r="C90" s="36" t="s">
        <v>134</v>
      </c>
      <c r="D90" s="56">
        <v>1617.5759772872095</v>
      </c>
      <c r="E90" t="s">
        <v>139</v>
      </c>
      <c r="F90" s="37">
        <v>1</v>
      </c>
      <c r="G90" s="46">
        <v>4771999.8381646629</v>
      </c>
      <c r="H90" s="36"/>
    </row>
    <row r="91" spans="2:8" x14ac:dyDescent="0.2">
      <c r="B91" s="37"/>
      <c r="C91" s="36" t="s">
        <v>166</v>
      </c>
      <c r="D91" s="56">
        <v>0.67251497216567302</v>
      </c>
      <c r="E91" t="s">
        <v>139</v>
      </c>
      <c r="F91" s="37">
        <v>1</v>
      </c>
      <c r="G91" s="46">
        <v>11272.74144986047</v>
      </c>
      <c r="H91" s="36"/>
    </row>
    <row r="92" spans="2:8" x14ac:dyDescent="0.2">
      <c r="B92" s="37" t="s">
        <v>168</v>
      </c>
      <c r="C92" s="36"/>
      <c r="F92" s="37"/>
      <c r="G92" s="37"/>
      <c r="H92" s="36"/>
    </row>
    <row r="93" spans="2:8" x14ac:dyDescent="0.2">
      <c r="B93" s="37"/>
      <c r="C93" s="36" t="s">
        <v>181</v>
      </c>
      <c r="F93" s="37"/>
      <c r="G93" s="46">
        <v>2102072.4456538516</v>
      </c>
      <c r="H93" s="36"/>
    </row>
    <row r="94" spans="2:8" x14ac:dyDescent="0.2">
      <c r="B94" s="37"/>
      <c r="C94" s="36" t="s">
        <v>167</v>
      </c>
      <c r="D94" s="76">
        <f>7924*O22</f>
        <v>7401.0160000000005</v>
      </c>
      <c r="E94" t="s">
        <v>182</v>
      </c>
      <c r="F94" s="37"/>
      <c r="G94" s="46">
        <v>8547316.4153571986</v>
      </c>
      <c r="H94" s="36"/>
    </row>
    <row r="95" spans="2:8" x14ac:dyDescent="0.2">
      <c r="B95" s="37"/>
      <c r="C95" s="36" t="s">
        <v>177</v>
      </c>
      <c r="F95" s="37"/>
      <c r="G95" s="46">
        <v>3109997.7768228264</v>
      </c>
      <c r="H95" s="36"/>
    </row>
    <row r="96" spans="2:8" x14ac:dyDescent="0.2">
      <c r="B96" s="39"/>
      <c r="C96" s="41" t="s">
        <v>178</v>
      </c>
      <c r="D96" s="39"/>
      <c r="E96" s="41"/>
      <c r="F96" s="39"/>
      <c r="G96" s="47">
        <v>10256727.4954047</v>
      </c>
      <c r="H96" s="40"/>
    </row>
    <row r="97" spans="2:8" x14ac:dyDescent="0.2">
      <c r="B97" s="37" t="s">
        <v>155</v>
      </c>
      <c r="G97" s="50">
        <f>SUM(G65:G96)</f>
        <v>149887809.00972599</v>
      </c>
      <c r="H97" s="36"/>
    </row>
    <row r="98" spans="2:8" x14ac:dyDescent="0.2">
      <c r="B98" s="37" t="s">
        <v>187</v>
      </c>
      <c r="G98" s="46">
        <f>G97/581.8*615.9</f>
        <v>158672914.3504473</v>
      </c>
      <c r="H98" s="36"/>
    </row>
    <row r="99" spans="2:8" x14ac:dyDescent="0.2">
      <c r="B99" s="39" t="s">
        <v>188</v>
      </c>
      <c r="C99" s="41"/>
      <c r="D99" s="41"/>
      <c r="E99" s="41"/>
      <c r="F99" s="41"/>
      <c r="G99" s="47">
        <v>613133129</v>
      </c>
      <c r="H99" s="40"/>
    </row>
    <row r="101" spans="2:8" x14ac:dyDescent="0.2">
      <c r="B101" s="43" t="s">
        <v>80</v>
      </c>
      <c r="C101" s="44"/>
      <c r="D101" s="43" t="s">
        <v>148</v>
      </c>
      <c r="E101" s="44"/>
      <c r="F101" s="44"/>
      <c r="G101" s="43" t="s">
        <v>188</v>
      </c>
      <c r="H101" s="45"/>
    </row>
    <row r="102" spans="2:8" x14ac:dyDescent="0.2">
      <c r="B102" s="38"/>
      <c r="C102" s="18"/>
      <c r="D102" s="51">
        <v>39018</v>
      </c>
      <c r="E102" s="18" t="s">
        <v>139</v>
      </c>
      <c r="F102" s="18"/>
      <c r="G102" s="49">
        <v>78731830</v>
      </c>
      <c r="H102" s="42"/>
    </row>
    <row r="104" spans="2:8" x14ac:dyDescent="0.2">
      <c r="B104">
        <v>1</v>
      </c>
      <c r="C104" t="s">
        <v>152</v>
      </c>
    </row>
    <row r="105" spans="2:8" x14ac:dyDescent="0.2">
      <c r="B105">
        <v>2</v>
      </c>
      <c r="C105" t="s">
        <v>151</v>
      </c>
    </row>
    <row r="106" spans="2:8" x14ac:dyDescent="0.2">
      <c r="B106">
        <v>3</v>
      </c>
      <c r="C106" t="s">
        <v>153</v>
      </c>
    </row>
    <row r="107" spans="2:8" x14ac:dyDescent="0.2">
      <c r="B107" s="15" t="s">
        <v>173</v>
      </c>
      <c r="C107" t="s">
        <v>180</v>
      </c>
    </row>
    <row r="108" spans="2:8" x14ac:dyDescent="0.2">
      <c r="B108" s="15" t="s">
        <v>179</v>
      </c>
      <c r="C108" t="s">
        <v>174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7DCB-F6EF-4FBA-9A88-8C5C1637B5D2}">
  <dimension ref="B2:AF107"/>
  <sheetViews>
    <sheetView topLeftCell="B1" zoomScale="145" zoomScaleNormal="145" workbookViewId="0">
      <selection activeCell="B2" sqref="B2"/>
    </sheetView>
  </sheetViews>
  <sheetFormatPr baseColWidth="10" defaultColWidth="8.83203125" defaultRowHeight="15" x14ac:dyDescent="0.2"/>
  <cols>
    <col min="2" max="2" width="3.5" customWidth="1"/>
    <col min="3" max="3" width="32.1640625" customWidth="1"/>
    <col min="4" max="4" width="10.83203125" customWidth="1"/>
    <col min="5" max="5" width="12.1640625" customWidth="1"/>
    <col min="6" max="6" width="10.83203125" customWidth="1"/>
    <col min="7" max="7" width="12.83203125" customWidth="1"/>
    <col min="8" max="8" width="12.6640625" customWidth="1"/>
    <col min="9" max="9" width="12.83203125" customWidth="1"/>
    <col min="10" max="10" width="12.5" customWidth="1"/>
    <col min="11" max="32" width="10.83203125" customWidth="1"/>
  </cols>
  <sheetData>
    <row r="2" spans="2:2" x14ac:dyDescent="0.2">
      <c r="B2" s="1" t="s">
        <v>285</v>
      </c>
    </row>
    <row r="22" spans="2:32" x14ac:dyDescent="0.2">
      <c r="B22" s="1" t="s">
        <v>0</v>
      </c>
      <c r="D22" t="s">
        <v>16</v>
      </c>
      <c r="M22" t="s">
        <v>17</v>
      </c>
      <c r="O22">
        <v>0.93100000000000005</v>
      </c>
    </row>
    <row r="24" spans="2:32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</row>
    <row r="25" spans="2:32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</row>
    <row r="26" spans="2:32" x14ac:dyDescent="0.2">
      <c r="C26" s="3" t="s">
        <v>2</v>
      </c>
      <c r="D26" s="3">
        <v>8.0999999999999996E-3</v>
      </c>
      <c r="E26" s="3"/>
      <c r="F26" s="3"/>
      <c r="G26" s="3">
        <v>9.2999999999999992E-3</v>
      </c>
      <c r="H26" s="3">
        <f>G26</f>
        <v>9.2999999999999992E-3</v>
      </c>
      <c r="I26" s="3">
        <v>1.0800000000000001E-2</v>
      </c>
      <c r="J26" s="33"/>
      <c r="K26" s="3"/>
      <c r="L26" s="3"/>
      <c r="M26" s="3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</row>
    <row r="27" spans="2:32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0.1439</v>
      </c>
      <c r="H27" s="3">
        <f t="shared" ref="H27:H32" si="0">G27</f>
        <v>0.1439</v>
      </c>
      <c r="I27" s="3">
        <v>1.6799999999999999E-2</v>
      </c>
      <c r="J27" s="33">
        <v>8.5199999999999998E-2</v>
      </c>
      <c r="K27" s="3">
        <v>0.2092</v>
      </c>
      <c r="L27" s="3"/>
      <c r="M27" s="3">
        <f>K27</f>
        <v>0.2092</v>
      </c>
      <c r="N27" s="57">
        <f>M27</f>
        <v>0.2092</v>
      </c>
      <c r="O27" s="57">
        <v>8.5199999999999998E-2</v>
      </c>
      <c r="P27" s="58">
        <f>J27</f>
        <v>8.5199999999999998E-2</v>
      </c>
      <c r="Q27" s="57">
        <f>N27</f>
        <v>0.2092</v>
      </c>
      <c r="R27" s="57">
        <f>N27</f>
        <v>0.2092</v>
      </c>
      <c r="S27" s="58">
        <v>0.96740000000000004</v>
      </c>
      <c r="T27" s="57">
        <v>0.12759999999999999</v>
      </c>
      <c r="U27" s="57">
        <f>T27</f>
        <v>0.12759999999999999</v>
      </c>
      <c r="V27" s="58">
        <v>0.96799999999999997</v>
      </c>
      <c r="W27" s="57">
        <f>O27</f>
        <v>8.5199999999999998E-2</v>
      </c>
      <c r="X27" s="57">
        <v>0.99250000000000005</v>
      </c>
      <c r="Y27" s="58">
        <v>0.98529999999999995</v>
      </c>
      <c r="Z27" s="57">
        <v>0.99790000000000001</v>
      </c>
      <c r="AA27" s="57"/>
      <c r="AB27" s="57"/>
      <c r="AC27" s="57"/>
      <c r="AD27" s="57"/>
      <c r="AE27" s="57"/>
      <c r="AF27" s="57"/>
    </row>
    <row r="28" spans="2:32" x14ac:dyDescent="0.2">
      <c r="C28" s="3" t="s">
        <v>278</v>
      </c>
      <c r="D28" s="3"/>
      <c r="E28" s="3"/>
      <c r="F28" s="3"/>
      <c r="G28" s="3"/>
      <c r="H28" s="3">
        <f t="shared" si="0"/>
        <v>0</v>
      </c>
      <c r="I28" s="32">
        <v>1E-4</v>
      </c>
      <c r="J28" s="33">
        <v>0.75409999999999999</v>
      </c>
      <c r="K28" s="3">
        <v>0.64280000000000004</v>
      </c>
      <c r="L28" s="33">
        <v>1</v>
      </c>
      <c r="M28" s="3">
        <f>K28</f>
        <v>0.64280000000000004</v>
      </c>
      <c r="N28" s="57">
        <f t="shared" ref="N28:N29" si="1">M28</f>
        <v>0.64280000000000004</v>
      </c>
      <c r="O28" s="58">
        <v>0.75660000000000005</v>
      </c>
      <c r="P28" s="58">
        <f t="shared" ref="P28:P29" si="2">J28</f>
        <v>0.75409999999999999</v>
      </c>
      <c r="Q28" s="57">
        <f t="shared" ref="Q28:Q29" si="3">N28</f>
        <v>0.64280000000000004</v>
      </c>
      <c r="R28" s="57">
        <f t="shared" ref="R28:R29" si="4">N28</f>
        <v>0.64280000000000004</v>
      </c>
      <c r="S28" s="57">
        <v>3.3999999999999998E-3</v>
      </c>
      <c r="T28" s="57">
        <v>0.57050000000000001</v>
      </c>
      <c r="U28" s="57">
        <f>T28</f>
        <v>0.57050000000000001</v>
      </c>
      <c r="V28" s="58">
        <v>3.0000000000000001E-3</v>
      </c>
      <c r="W28" s="57">
        <f t="shared" ref="W28:W29" si="5">O28</f>
        <v>0.75660000000000005</v>
      </c>
      <c r="X28" s="57"/>
      <c r="Y28" s="57"/>
      <c r="Z28" s="57"/>
      <c r="AA28" s="57"/>
      <c r="AB28" s="57"/>
      <c r="AC28" s="57"/>
      <c r="AD28" s="57"/>
      <c r="AE28" s="57"/>
      <c r="AF28" s="57"/>
    </row>
    <row r="29" spans="2:32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1.7600000000000001E-2</v>
      </c>
      <c r="H29" s="3">
        <f t="shared" si="0"/>
        <v>1.7600000000000001E-2</v>
      </c>
      <c r="I29" s="3">
        <v>7.4000000000000003E-3</v>
      </c>
      <c r="J29" s="33">
        <v>0.16070000000000001</v>
      </c>
      <c r="K29" s="33">
        <v>0.14799999999999999</v>
      </c>
      <c r="L29" s="3"/>
      <c r="M29" s="33">
        <f>K29</f>
        <v>0.14799999999999999</v>
      </c>
      <c r="N29" s="33">
        <f t="shared" si="1"/>
        <v>0.14799999999999999</v>
      </c>
      <c r="O29" s="58">
        <v>0.15809999999999999</v>
      </c>
      <c r="P29" s="58">
        <f t="shared" si="2"/>
        <v>0.16070000000000001</v>
      </c>
      <c r="Q29" s="57">
        <f t="shared" si="3"/>
        <v>0.14799999999999999</v>
      </c>
      <c r="R29" s="57">
        <f t="shared" si="4"/>
        <v>0.14799999999999999</v>
      </c>
      <c r="S29" s="57">
        <v>2.8899999999999999E-2</v>
      </c>
      <c r="T29" s="57">
        <v>0.15190000000000001</v>
      </c>
      <c r="U29" s="57">
        <f t="shared" ref="U29" si="6">T29</f>
        <v>0.15190000000000001</v>
      </c>
      <c r="V29" s="58">
        <v>2.8899999999999999E-2</v>
      </c>
      <c r="W29" s="57">
        <f t="shared" si="5"/>
        <v>0.15809999999999999</v>
      </c>
      <c r="X29" s="57">
        <v>7.1000000000000004E-3</v>
      </c>
      <c r="Y29" s="57">
        <v>1.47E-2</v>
      </c>
      <c r="Z29" s="58">
        <v>1.9E-3</v>
      </c>
      <c r="AA29" s="58">
        <v>1</v>
      </c>
      <c r="AB29" s="58">
        <v>1</v>
      </c>
      <c r="AC29" s="57"/>
      <c r="AD29" s="57"/>
      <c r="AE29" s="57"/>
      <c r="AF29" s="57"/>
    </row>
    <row r="30" spans="2:32" x14ac:dyDescent="0.2">
      <c r="C30" s="3" t="s">
        <v>5</v>
      </c>
      <c r="D30" s="3">
        <v>0.68130000000000002</v>
      </c>
      <c r="E30" s="3"/>
      <c r="F30" s="3"/>
      <c r="G30" s="33">
        <v>0.78700000000000003</v>
      </c>
      <c r="H30" s="3">
        <f t="shared" si="0"/>
        <v>0.78700000000000003</v>
      </c>
      <c r="I30" s="3">
        <v>0.91569999999999996</v>
      </c>
      <c r="J30" s="33"/>
      <c r="K30" s="3"/>
      <c r="L30" s="3"/>
      <c r="M30" s="3"/>
      <c r="N30" s="57"/>
      <c r="O30" s="57"/>
      <c r="P30" s="57"/>
      <c r="Q30" s="57"/>
      <c r="R30" s="57"/>
      <c r="S30" s="58">
        <v>2.9999999999999997E-4</v>
      </c>
      <c r="T30" s="57"/>
      <c r="U30" s="57"/>
      <c r="V30" s="57"/>
      <c r="W30" s="57"/>
      <c r="X30" s="57">
        <v>2.9999999999999997E-4</v>
      </c>
      <c r="Y30" s="57"/>
      <c r="Z30" s="57">
        <v>2.0000000000000001E-4</v>
      </c>
      <c r="AA30" s="57"/>
      <c r="AB30" s="57"/>
      <c r="AC30" s="57"/>
      <c r="AD30" s="57"/>
      <c r="AE30" s="57"/>
      <c r="AF30" s="57"/>
    </row>
    <row r="31" spans="2:32" x14ac:dyDescent="0.2">
      <c r="C31" s="3" t="s">
        <v>6</v>
      </c>
      <c r="D31" s="3"/>
      <c r="E31" s="3"/>
      <c r="F31" s="3"/>
      <c r="G31" s="3"/>
      <c r="H31" s="3">
        <f t="shared" si="0"/>
        <v>0</v>
      </c>
      <c r="I31" s="3"/>
      <c r="J31" s="33"/>
      <c r="K31" s="3"/>
      <c r="L31" s="3"/>
      <c r="M31" s="3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8"/>
      <c r="Y31" s="58"/>
      <c r="Z31" s="58"/>
      <c r="AA31" s="58"/>
      <c r="AB31" s="58"/>
      <c r="AC31" s="58">
        <v>1</v>
      </c>
      <c r="AD31" s="58">
        <v>1</v>
      </c>
      <c r="AE31" s="58">
        <v>1</v>
      </c>
      <c r="AF31" s="58">
        <v>1</v>
      </c>
    </row>
    <row r="32" spans="2:32" x14ac:dyDescent="0.2">
      <c r="C32" s="3" t="s">
        <v>7</v>
      </c>
      <c r="D32" s="3">
        <v>3.6600000000000001E-2</v>
      </c>
      <c r="E32" s="3"/>
      <c r="F32" s="3"/>
      <c r="G32" s="3">
        <v>4.2200000000000001E-2</v>
      </c>
      <c r="H32" s="3">
        <f t="shared" si="0"/>
        <v>4.2200000000000001E-2</v>
      </c>
      <c r="I32" s="3">
        <v>4.9200000000000001E-2</v>
      </c>
      <c r="J32" s="33"/>
      <c r="K32" s="3"/>
      <c r="L32" s="3"/>
      <c r="M32" s="3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</row>
    <row r="33" spans="2:32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7"/>
      <c r="Y33" s="57"/>
      <c r="Z33" s="57"/>
      <c r="AA33" s="57"/>
      <c r="AB33" s="57"/>
      <c r="AC33" s="57"/>
      <c r="AD33" s="57"/>
      <c r="AE33" s="57"/>
      <c r="AF33" s="57"/>
    </row>
    <row r="34" spans="2:32" x14ac:dyDescent="0.2">
      <c r="C34" s="3" t="s">
        <v>8</v>
      </c>
      <c r="D34" s="31">
        <f>116568*O22</f>
        <v>108524.808</v>
      </c>
      <c r="E34" s="31">
        <f>1559.4*O22</f>
        <v>1451.8014000000001</v>
      </c>
      <c r="F34" s="31">
        <f>O22*14087.4</f>
        <v>13115.3694</v>
      </c>
      <c r="G34" s="31">
        <f>100921*O22</f>
        <v>93957.451000000001</v>
      </c>
      <c r="H34" s="31">
        <f>G34</f>
        <v>93957.451000000001</v>
      </c>
      <c r="I34" s="31">
        <f>86728*O22</f>
        <v>80743.768000000011</v>
      </c>
      <c r="J34" s="31">
        <f>81532.1*O22</f>
        <v>75906.385100000014</v>
      </c>
      <c r="K34" s="31">
        <f>95724*O22</f>
        <v>89119.044000000009</v>
      </c>
      <c r="L34" s="31">
        <f>L35/L41</f>
        <v>3.6181654343807761</v>
      </c>
      <c r="M34" s="31">
        <f>K34</f>
        <v>89119.044000000009</v>
      </c>
      <c r="N34" s="59">
        <f>90938*O22</f>
        <v>84663.278000000006</v>
      </c>
      <c r="O34" s="59">
        <f>81194.3*O22</f>
        <v>75591.893300000011</v>
      </c>
      <c r="P34" s="59">
        <f>J34</f>
        <v>75906.385100000014</v>
      </c>
      <c r="Q34" s="59">
        <f>4786.2*O22</f>
        <v>4455.9521999999997</v>
      </c>
      <c r="R34" s="59">
        <f>N34</f>
        <v>84663.278000000006</v>
      </c>
      <c r="S34" s="59">
        <f>8969.7*O22</f>
        <v>8350.7907000000014</v>
      </c>
      <c r="T34" s="59">
        <f>81022*O22</f>
        <v>75431.482000000004</v>
      </c>
      <c r="U34" s="59">
        <f>T34</f>
        <v>75431.482000000004</v>
      </c>
      <c r="V34" s="59">
        <f>4563.9*O22</f>
        <v>4248.9908999999998</v>
      </c>
      <c r="W34" s="59">
        <f>O34</f>
        <v>75591.893300000011</v>
      </c>
      <c r="X34" s="59">
        <f>8720.7*O22</f>
        <v>8118.971700000001</v>
      </c>
      <c r="Y34" s="59">
        <f>4474.9*O22</f>
        <v>4166.1319000000003</v>
      </c>
      <c r="Z34" s="59">
        <f>13092*O22</f>
        <v>12188.652</v>
      </c>
      <c r="AA34" s="59">
        <f>34051*O22*1219.9/(1219.9+210.5)</f>
        <v>27036.239284046424</v>
      </c>
      <c r="AB34" s="59">
        <f>34051*O22*210.5/(1219.9+210.5)</f>
        <v>4665.2417159535798</v>
      </c>
      <c r="AC34" s="59">
        <f>5181*O22</f>
        <v>4823.5110000000004</v>
      </c>
      <c r="AD34" s="59">
        <f>AC34</f>
        <v>4823.5110000000004</v>
      </c>
      <c r="AE34" s="59">
        <f t="shared" ref="AE34:AF35" si="7">AD34</f>
        <v>4823.5110000000004</v>
      </c>
      <c r="AF34" s="59">
        <f t="shared" si="7"/>
        <v>4823.5110000000004</v>
      </c>
    </row>
    <row r="35" spans="2:32" x14ac:dyDescent="0.2">
      <c r="C35" s="3" t="s">
        <v>9</v>
      </c>
      <c r="D35" s="31">
        <f>3351890*O22</f>
        <v>3120609.5900000003</v>
      </c>
      <c r="E35" s="31">
        <f>28098.1*O22</f>
        <v>26159.331099999999</v>
      </c>
      <c r="F35" s="31">
        <f>O22*253822</f>
        <v>236308.28200000001</v>
      </c>
      <c r="G35" s="31">
        <f>3069970*O22</f>
        <v>2858142.0700000003</v>
      </c>
      <c r="H35" s="31">
        <f>G35</f>
        <v>2858142.0700000003</v>
      </c>
      <c r="I35" s="31">
        <f>2476530*O22</f>
        <v>2305649.4300000002</v>
      </c>
      <c r="J35" s="31">
        <f>13841200*O22</f>
        <v>12886157.200000001</v>
      </c>
      <c r="K35" s="31">
        <f>14434600*O22</f>
        <v>13438612.600000001</v>
      </c>
      <c r="L35" s="31">
        <f>841*O22</f>
        <v>782.971</v>
      </c>
      <c r="M35" s="31">
        <f>K35</f>
        <v>13438612.600000001</v>
      </c>
      <c r="N35" s="59">
        <f>13712900*O22</f>
        <v>12766709.9</v>
      </c>
      <c r="O35" s="59">
        <f>13825600*O22</f>
        <v>12871633.600000001</v>
      </c>
      <c r="P35" s="59">
        <f>J35</f>
        <v>12886157.200000001</v>
      </c>
      <c r="Q35" s="59">
        <f>721730*O22</f>
        <v>671930.63</v>
      </c>
      <c r="R35" s="59">
        <f>N35</f>
        <v>12766709.9</v>
      </c>
      <c r="S35" s="59">
        <f>393043*O22</f>
        <v>365923.033</v>
      </c>
      <c r="T35" s="59">
        <f>1330460*O22</f>
        <v>1238658.26</v>
      </c>
      <c r="U35" s="59">
        <f>T35</f>
        <v>1238658.26</v>
      </c>
      <c r="V35" s="59">
        <f>439086*O22</f>
        <v>408789.06600000005</v>
      </c>
      <c r="W35" s="59">
        <f>O35</f>
        <v>12871633.600000001</v>
      </c>
      <c r="X35" s="59">
        <f>382132*O22</f>
        <v>355764.89199999999</v>
      </c>
      <c r="Y35" s="59">
        <f>195228*O22</f>
        <v>181757.26800000001</v>
      </c>
      <c r="Z35" s="59">
        <f>575490*O22</f>
        <v>535781.19000000006</v>
      </c>
      <c r="AA35" s="59">
        <f>613438*O22*1219.9/(1219.9+210.5)</f>
        <v>487065.18322301464</v>
      </c>
      <c r="AB35" s="59">
        <f>613438*O22*210.5/(1219.9+210.5)</f>
        <v>84045.594776985454</v>
      </c>
      <c r="AC35" s="59">
        <f>88236*O22</f>
        <v>82147.716</v>
      </c>
      <c r="AD35" s="59">
        <f>AC35</f>
        <v>82147.716</v>
      </c>
      <c r="AE35" s="59">
        <f t="shared" si="7"/>
        <v>82147.716</v>
      </c>
      <c r="AF35" s="59">
        <f t="shared" si="7"/>
        <v>82147.716</v>
      </c>
    </row>
    <row r="36" spans="2:3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 spans="2:32" x14ac:dyDescent="0.2">
      <c r="C37" s="3" t="s">
        <v>200</v>
      </c>
      <c r="D37" s="3">
        <v>56.2</v>
      </c>
      <c r="E37" s="3">
        <v>15.6</v>
      </c>
      <c r="F37" s="3">
        <v>25.6</v>
      </c>
      <c r="G37" s="3">
        <f>E37</f>
        <v>15.6</v>
      </c>
      <c r="H37" s="3">
        <v>24</v>
      </c>
      <c r="I37" s="3">
        <v>32.200000000000003</v>
      </c>
      <c r="J37" s="3">
        <v>23.9</v>
      </c>
      <c r="K37" s="3">
        <v>38.9</v>
      </c>
      <c r="L37" s="3">
        <v>23.9</v>
      </c>
      <c r="M37" s="3">
        <v>39</v>
      </c>
      <c r="N37" s="57">
        <v>79.3</v>
      </c>
      <c r="O37" s="57">
        <v>95.3</v>
      </c>
      <c r="P37" s="57">
        <v>43.1</v>
      </c>
      <c r="Q37" s="57">
        <f>M37</f>
        <v>39</v>
      </c>
      <c r="R37" s="57">
        <v>98.5</v>
      </c>
      <c r="S37" s="57">
        <f>R37</f>
        <v>98.5</v>
      </c>
      <c r="T37" s="57">
        <f>S37</f>
        <v>98.5</v>
      </c>
      <c r="U37" s="57">
        <v>93.8</v>
      </c>
      <c r="V37" s="57">
        <v>66.3</v>
      </c>
      <c r="W37" s="57">
        <v>95.2</v>
      </c>
      <c r="X37" s="57">
        <v>30</v>
      </c>
      <c r="Y37" s="57">
        <v>30</v>
      </c>
      <c r="Z37" s="57">
        <v>44.1</v>
      </c>
      <c r="AA37" s="57">
        <v>157.30000000000001</v>
      </c>
      <c r="AB37" s="57">
        <f>AA37</f>
        <v>157.30000000000001</v>
      </c>
      <c r="AC37" s="57">
        <v>10.5</v>
      </c>
      <c r="AD37" s="57">
        <v>62</v>
      </c>
      <c r="AE37" s="57">
        <v>28.9</v>
      </c>
      <c r="AF37" s="57">
        <v>10</v>
      </c>
    </row>
    <row r="38" spans="2:32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</v>
      </c>
      <c r="J38" s="3">
        <v>1.5</v>
      </c>
      <c r="K38" s="3">
        <v>1.1000000000000001</v>
      </c>
      <c r="L38" s="3">
        <v>1.5</v>
      </c>
      <c r="M38" s="3">
        <v>6.5</v>
      </c>
      <c r="N38" s="57">
        <v>6</v>
      </c>
      <c r="O38" s="57">
        <v>6</v>
      </c>
      <c r="P38" s="57">
        <v>2.2999999999999998</v>
      </c>
      <c r="Q38" s="57">
        <f t="shared" ref="Q38:Q41" si="8">M38</f>
        <v>6.5</v>
      </c>
      <c r="R38" s="57">
        <v>5.2</v>
      </c>
      <c r="S38" s="57">
        <f>R38</f>
        <v>5.2</v>
      </c>
      <c r="T38" s="57">
        <f>S38</f>
        <v>5.2</v>
      </c>
      <c r="U38" s="57">
        <v>2.2999999999999998</v>
      </c>
      <c r="V38" s="57">
        <v>2.2999999999999998</v>
      </c>
      <c r="W38" s="57">
        <v>2.2999999999999998</v>
      </c>
      <c r="X38" s="57">
        <v>5.2</v>
      </c>
      <c r="Y38" s="57">
        <v>2.2999999999999998</v>
      </c>
      <c r="Z38" s="57">
        <v>152.69999999999999</v>
      </c>
      <c r="AA38" s="57">
        <v>1.6</v>
      </c>
      <c r="AB38" s="57">
        <f t="shared" ref="AB38:AB41" si="9">AA38</f>
        <v>1.6</v>
      </c>
      <c r="AC38" s="57">
        <v>6.2</v>
      </c>
      <c r="AD38" s="57">
        <v>11.5</v>
      </c>
      <c r="AE38" s="57">
        <v>11.5</v>
      </c>
      <c r="AF38" s="57">
        <v>6.2</v>
      </c>
    </row>
    <row r="39" spans="2:32" x14ac:dyDescent="0.2">
      <c r="C39" s="3" t="s">
        <v>12</v>
      </c>
      <c r="D39" s="34">
        <v>-2959</v>
      </c>
      <c r="E39" s="34">
        <v>-15923</v>
      </c>
      <c r="F39" s="34">
        <v>-15872</v>
      </c>
      <c r="G39" s="34">
        <v>-2012</v>
      </c>
      <c r="H39" s="34">
        <v>-2004</v>
      </c>
      <c r="I39" s="34">
        <v>-288</v>
      </c>
      <c r="J39" s="34">
        <v>-2764.4</v>
      </c>
      <c r="K39" s="34">
        <v>-3080.6</v>
      </c>
      <c r="L39" s="34">
        <v>-2342.8000000000002</v>
      </c>
      <c r="M39" s="34">
        <v>-3080</v>
      </c>
      <c r="N39" s="60">
        <v>-2949</v>
      </c>
      <c r="O39" s="60">
        <v>-2586.6999999999998</v>
      </c>
      <c r="P39" s="60">
        <v>-2722</v>
      </c>
      <c r="Q39" s="60">
        <f>M39</f>
        <v>-3080</v>
      </c>
      <c r="R39" s="60">
        <v>-2848</v>
      </c>
      <c r="S39" s="60">
        <v>-8823</v>
      </c>
      <c r="T39" s="60">
        <v>-2671</v>
      </c>
      <c r="U39" s="60">
        <v>-2671</v>
      </c>
      <c r="V39" s="60">
        <v>-8857</v>
      </c>
      <c r="W39" s="60">
        <v>-2587</v>
      </c>
      <c r="X39" s="60">
        <v>-8958</v>
      </c>
      <c r="Y39" s="60">
        <v>-8972</v>
      </c>
      <c r="Z39" s="60">
        <v>-9157</v>
      </c>
      <c r="AA39" s="60">
        <v>-13194</v>
      </c>
      <c r="AB39" s="57">
        <f t="shared" si="9"/>
        <v>-13194</v>
      </c>
      <c r="AC39" s="60">
        <v>-2764.2</v>
      </c>
      <c r="AD39" s="60">
        <v>-2656</v>
      </c>
      <c r="AE39" s="60">
        <v>-3901</v>
      </c>
      <c r="AF39" s="60">
        <v>-3901</v>
      </c>
    </row>
    <row r="40" spans="2:32" x14ac:dyDescent="0.2">
      <c r="C40" s="3" t="s">
        <v>13</v>
      </c>
      <c r="D40" s="3">
        <v>1.1100000000000001</v>
      </c>
      <c r="E40" s="3">
        <v>998.9</v>
      </c>
      <c r="F40" s="3">
        <v>996.8</v>
      </c>
      <c r="G40" s="3">
        <v>1.29</v>
      </c>
      <c r="H40" s="3">
        <v>1.36</v>
      </c>
      <c r="I40" s="3">
        <v>1.1200000000000001</v>
      </c>
      <c r="J40" s="3">
        <v>966.6</v>
      </c>
      <c r="K40" s="3">
        <v>1057.0999999999999</v>
      </c>
      <c r="L40" s="3">
        <v>933.3</v>
      </c>
      <c r="M40" s="3">
        <v>1057.0999999999999</v>
      </c>
      <c r="N40" s="57">
        <v>1038.4000000000001</v>
      </c>
      <c r="O40" s="57">
        <v>937</v>
      </c>
      <c r="P40" s="57">
        <v>963.6</v>
      </c>
      <c r="Q40" s="57">
        <f>M40</f>
        <v>1057.0999999999999</v>
      </c>
      <c r="R40" s="57">
        <v>206.7</v>
      </c>
      <c r="S40" s="57">
        <v>7.5</v>
      </c>
      <c r="T40" s="57">
        <v>959.1</v>
      </c>
      <c r="U40" s="57">
        <v>214.3</v>
      </c>
      <c r="V40" s="57">
        <v>3.6</v>
      </c>
      <c r="W40" s="57">
        <v>937.2</v>
      </c>
      <c r="X40" s="57">
        <v>9.27</v>
      </c>
      <c r="Y40" s="57">
        <v>4.03</v>
      </c>
      <c r="Z40" s="57">
        <v>489.4</v>
      </c>
      <c r="AA40" s="57">
        <v>0.8</v>
      </c>
      <c r="AB40" s="57">
        <f t="shared" si="9"/>
        <v>0.8</v>
      </c>
      <c r="AC40" s="57">
        <v>4.8600000000000003</v>
      </c>
      <c r="AD40" s="57">
        <v>7.63</v>
      </c>
      <c r="AE40" s="57">
        <v>597.1</v>
      </c>
      <c r="AF40" s="57">
        <v>60.5</v>
      </c>
    </row>
    <row r="41" spans="2:32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30.42</v>
      </c>
      <c r="H41" s="3">
        <f>G41</f>
        <v>30.42</v>
      </c>
      <c r="I41" s="3">
        <v>28.55</v>
      </c>
      <c r="J41" s="3">
        <v>169.8</v>
      </c>
      <c r="K41" s="3">
        <v>150.80000000000001</v>
      </c>
      <c r="L41" s="3">
        <v>216.4</v>
      </c>
      <c r="M41" s="3">
        <f>K41</f>
        <v>150.80000000000001</v>
      </c>
      <c r="N41" s="57">
        <f>M41</f>
        <v>150.80000000000001</v>
      </c>
      <c r="O41" s="57">
        <v>170.3</v>
      </c>
      <c r="P41" s="57">
        <f>J41</f>
        <v>169.8</v>
      </c>
      <c r="Q41" s="57">
        <f t="shared" si="8"/>
        <v>150.80000000000001</v>
      </c>
      <c r="R41" s="57">
        <f>N41</f>
        <v>150.80000000000001</v>
      </c>
      <c r="S41" s="57">
        <v>43.8</v>
      </c>
      <c r="T41" s="57">
        <v>164.2</v>
      </c>
      <c r="U41" s="57">
        <f>T41</f>
        <v>164.2</v>
      </c>
      <c r="V41" s="57">
        <v>43.8</v>
      </c>
      <c r="W41" s="57">
        <v>170.3</v>
      </c>
      <c r="X41" s="57">
        <v>43.8</v>
      </c>
      <c r="Y41" s="57">
        <v>43.6</v>
      </c>
      <c r="Z41" s="57">
        <v>43.96</v>
      </c>
      <c r="AA41" s="57">
        <v>18</v>
      </c>
      <c r="AB41" s="57">
        <f t="shared" si="9"/>
        <v>18</v>
      </c>
      <c r="AC41" s="57">
        <v>17.03</v>
      </c>
      <c r="AD41" s="57">
        <v>17.03</v>
      </c>
      <c r="AE41" s="57">
        <v>17.03</v>
      </c>
      <c r="AF41" s="57">
        <v>17.03</v>
      </c>
    </row>
    <row r="43" spans="2:32" x14ac:dyDescent="0.2">
      <c r="B43" s="1" t="s">
        <v>132</v>
      </c>
      <c r="D43" t="s">
        <v>199</v>
      </c>
    </row>
    <row r="45" spans="2:32" x14ac:dyDescent="0.2">
      <c r="C45" s="53" t="s">
        <v>138</v>
      </c>
      <c r="D45" s="18"/>
      <c r="E45" s="42"/>
    </row>
    <row r="46" spans="2:32" x14ac:dyDescent="0.2">
      <c r="C46" s="37" t="s">
        <v>133</v>
      </c>
      <c r="D46" s="7">
        <f>2641*O22</f>
        <v>2458.7710000000002</v>
      </c>
      <c r="E46" s="36" t="s">
        <v>139</v>
      </c>
    </row>
    <row r="47" spans="2:32" x14ac:dyDescent="0.2">
      <c r="C47" s="37" t="s">
        <v>134</v>
      </c>
      <c r="D47" s="7">
        <f>D89</f>
        <v>1634.363320203282</v>
      </c>
      <c r="E47" s="36" t="s">
        <v>139</v>
      </c>
    </row>
    <row r="48" spans="2:32" x14ac:dyDescent="0.2">
      <c r="C48" s="37" t="s">
        <v>135</v>
      </c>
      <c r="D48" s="7">
        <f>D88</f>
        <v>2220.0984238289784</v>
      </c>
      <c r="E48" s="36" t="s">
        <v>139</v>
      </c>
    </row>
    <row r="49" spans="2:8" x14ac:dyDescent="0.2">
      <c r="C49" s="37" t="s">
        <v>136</v>
      </c>
      <c r="D49" s="7">
        <f>D87</f>
        <v>3438.2264404310627</v>
      </c>
      <c r="E49" s="36" t="s">
        <v>139</v>
      </c>
    </row>
    <row r="50" spans="2:8" x14ac:dyDescent="0.2">
      <c r="C50" s="37" t="s">
        <v>137</v>
      </c>
      <c r="D50" s="7">
        <f>D64</f>
        <v>6660.6488807321148</v>
      </c>
      <c r="E50" s="36" t="s">
        <v>139</v>
      </c>
    </row>
    <row r="51" spans="2:8" x14ac:dyDescent="0.2">
      <c r="C51" s="39" t="s">
        <v>141</v>
      </c>
      <c r="D51" s="52">
        <f>D100</f>
        <v>32400.396251161161</v>
      </c>
      <c r="E51" s="40" t="s">
        <v>139</v>
      </c>
    </row>
    <row r="53" spans="2:8" x14ac:dyDescent="0.2">
      <c r="C53" s="53" t="s">
        <v>140</v>
      </c>
      <c r="D53" s="18"/>
      <c r="E53" s="42"/>
    </row>
    <row r="54" spans="2:8" x14ac:dyDescent="0.2">
      <c r="C54" s="37" t="s">
        <v>144</v>
      </c>
      <c r="D54" s="35">
        <f>(109.8)*O22</f>
        <v>102.2238</v>
      </c>
      <c r="E54" s="36" t="s">
        <v>142</v>
      </c>
    </row>
    <row r="55" spans="2:8" x14ac:dyDescent="0.2">
      <c r="C55" s="37" t="s">
        <v>143</v>
      </c>
      <c r="D55" s="35">
        <f>D67+D68</f>
        <v>428.89544512924249</v>
      </c>
      <c r="E55" s="36" t="s">
        <v>142</v>
      </c>
    </row>
    <row r="56" spans="2:8" x14ac:dyDescent="0.2">
      <c r="C56" s="37" t="s">
        <v>145</v>
      </c>
      <c r="D56" s="35">
        <f>D70</f>
        <v>1672.9067279277658</v>
      </c>
      <c r="E56" s="36" t="s">
        <v>142</v>
      </c>
    </row>
    <row r="57" spans="2:8" x14ac:dyDescent="0.2">
      <c r="C57" s="37" t="s">
        <v>190</v>
      </c>
      <c r="D57" s="35">
        <f>D73</f>
        <v>39</v>
      </c>
      <c r="E57" s="36" t="s">
        <v>142</v>
      </c>
    </row>
    <row r="58" spans="2:8" x14ac:dyDescent="0.2">
      <c r="C58" s="39" t="s">
        <v>147</v>
      </c>
      <c r="D58" s="54">
        <f>D66</f>
        <v>678.83669567868083</v>
      </c>
      <c r="E58" s="40" t="s">
        <v>142</v>
      </c>
    </row>
    <row r="60" spans="2:8" x14ac:dyDescent="0.2">
      <c r="B60" s="1" t="s">
        <v>150</v>
      </c>
    </row>
    <row r="62" spans="2:8" x14ac:dyDescent="0.2">
      <c r="B62" s="43" t="s">
        <v>189</v>
      </c>
      <c r="C62" s="44"/>
      <c r="D62" s="43" t="s">
        <v>148</v>
      </c>
      <c r="E62" s="44"/>
      <c r="F62" s="43" t="s">
        <v>154</v>
      </c>
      <c r="G62" s="43" t="s">
        <v>169</v>
      </c>
      <c r="H62" s="45"/>
    </row>
    <row r="63" spans="2:8" x14ac:dyDescent="0.2">
      <c r="B63" s="37" t="s">
        <v>149</v>
      </c>
      <c r="C63" s="36"/>
      <c r="F63" s="37"/>
      <c r="G63" s="37"/>
      <c r="H63" s="36"/>
    </row>
    <row r="64" spans="2:8" x14ac:dyDescent="0.2">
      <c r="B64" s="37"/>
      <c r="C64" s="36" t="s">
        <v>137</v>
      </c>
      <c r="D64" s="77">
        <v>6660.6488807321148</v>
      </c>
      <c r="E64" t="s">
        <v>139</v>
      </c>
      <c r="F64" s="37"/>
      <c r="G64" s="46">
        <v>9712061.1421347111</v>
      </c>
      <c r="H64" s="36"/>
    </row>
    <row r="65" spans="2:8" x14ac:dyDescent="0.2">
      <c r="B65" s="37" t="s">
        <v>156</v>
      </c>
      <c r="C65" s="36"/>
      <c r="D65" s="48"/>
      <c r="F65" s="37"/>
      <c r="G65" s="37"/>
      <c r="H65" s="36"/>
    </row>
    <row r="66" spans="2:8" x14ac:dyDescent="0.2">
      <c r="B66" s="37"/>
      <c r="C66" s="36" t="s">
        <v>147</v>
      </c>
      <c r="D66" s="48">
        <v>678.83669567868083</v>
      </c>
      <c r="E66" t="s">
        <v>142</v>
      </c>
      <c r="F66" s="37"/>
      <c r="G66" s="46">
        <v>9355057.734260425</v>
      </c>
      <c r="H66" s="36"/>
    </row>
    <row r="67" spans="2:8" x14ac:dyDescent="0.2">
      <c r="B67" s="37"/>
      <c r="C67" s="36" t="s">
        <v>170</v>
      </c>
      <c r="D67" s="48">
        <v>93.366798986868318</v>
      </c>
      <c r="E67" t="s">
        <v>142</v>
      </c>
      <c r="F67" s="37"/>
      <c r="G67" s="46">
        <v>293852.07320270123</v>
      </c>
      <c r="H67" s="36"/>
    </row>
    <row r="68" spans="2:8" x14ac:dyDescent="0.2">
      <c r="B68" s="37"/>
      <c r="C68" s="36" t="s">
        <v>157</v>
      </c>
      <c r="D68" s="48">
        <v>335.52864614237416</v>
      </c>
      <c r="E68" t="s">
        <v>142</v>
      </c>
      <c r="F68" s="37"/>
      <c r="G68" s="46">
        <v>2684660.4398923893</v>
      </c>
      <c r="H68" s="36"/>
    </row>
    <row r="69" spans="2:8" x14ac:dyDescent="0.2">
      <c r="B69" s="37"/>
      <c r="C69" s="36" t="s">
        <v>158</v>
      </c>
      <c r="D69" s="48">
        <v>385.78768649001711</v>
      </c>
      <c r="E69" t="s">
        <v>142</v>
      </c>
      <c r="F69" s="37"/>
      <c r="G69" s="46">
        <v>3008343.8156280806</v>
      </c>
      <c r="H69" s="36"/>
    </row>
    <row r="70" spans="2:8" x14ac:dyDescent="0.2">
      <c r="B70" s="37"/>
      <c r="C70" s="36" t="s">
        <v>159</v>
      </c>
      <c r="D70" s="48">
        <v>1672.9067279277658</v>
      </c>
      <c r="E70" t="s">
        <v>142</v>
      </c>
      <c r="F70" s="37"/>
      <c r="G70" s="46">
        <v>15936397.507424016</v>
      </c>
      <c r="H70" s="36"/>
    </row>
    <row r="71" spans="2:8" x14ac:dyDescent="0.2">
      <c r="B71" s="37"/>
      <c r="C71" s="36" t="s">
        <v>171</v>
      </c>
      <c r="D71" s="48">
        <v>548.57821636257154</v>
      </c>
      <c r="E71" t="s">
        <v>142</v>
      </c>
      <c r="F71" s="37"/>
      <c r="G71" s="46">
        <v>5861877.3853872465</v>
      </c>
      <c r="H71" s="36"/>
    </row>
    <row r="72" spans="2:8" x14ac:dyDescent="0.2">
      <c r="B72" s="37"/>
      <c r="C72" s="36" t="s">
        <v>191</v>
      </c>
      <c r="D72" s="48">
        <f>1129.2+196.3</f>
        <v>1325.5</v>
      </c>
      <c r="E72" t="s">
        <v>142</v>
      </c>
      <c r="F72" s="37"/>
      <c r="G72" s="46">
        <v>14615651.659146987</v>
      </c>
      <c r="H72" s="36"/>
    </row>
    <row r="73" spans="2:8" x14ac:dyDescent="0.2">
      <c r="B73" s="37"/>
      <c r="C73" s="36" t="s">
        <v>192</v>
      </c>
      <c r="D73" s="48">
        <f>34.7+4.3</f>
        <v>39</v>
      </c>
      <c r="E73" t="s">
        <v>142</v>
      </c>
      <c r="F73" s="37"/>
      <c r="G73" s="46">
        <f>101975+29605</f>
        <v>131580</v>
      </c>
      <c r="H73" s="36"/>
    </row>
    <row r="74" spans="2:8" x14ac:dyDescent="0.2">
      <c r="B74" s="37"/>
      <c r="C74" s="36" t="s">
        <v>161</v>
      </c>
      <c r="D74" s="48">
        <v>20.6</v>
      </c>
      <c r="E74" t="s">
        <v>142</v>
      </c>
      <c r="F74" s="37"/>
      <c r="G74" s="46">
        <v>70263</v>
      </c>
      <c r="H74" s="36"/>
    </row>
    <row r="75" spans="2:8" x14ac:dyDescent="0.2">
      <c r="B75" s="37" t="s">
        <v>183</v>
      </c>
      <c r="C75" s="36"/>
      <c r="F75" s="37"/>
      <c r="G75" s="37"/>
      <c r="H75" s="36"/>
    </row>
    <row r="76" spans="2:8" x14ac:dyDescent="0.2">
      <c r="B76" s="37"/>
      <c r="C76" s="36" t="s">
        <v>184</v>
      </c>
      <c r="D76" s="48">
        <f>19.6*O22^0.5</f>
        <v>18.911714887867785</v>
      </c>
      <c r="E76" t="s">
        <v>176</v>
      </c>
      <c r="F76" s="37"/>
      <c r="G76" s="46">
        <v>16812219.362861112</v>
      </c>
      <c r="H76" s="36"/>
    </row>
    <row r="77" spans="2:8" x14ac:dyDescent="0.2">
      <c r="B77" s="37"/>
      <c r="C77" s="36"/>
      <c r="D77" s="35">
        <v>16</v>
      </c>
      <c r="E77" t="s">
        <v>175</v>
      </c>
      <c r="F77" s="37"/>
      <c r="G77" s="46"/>
      <c r="H77" s="36"/>
    </row>
    <row r="78" spans="2:8" x14ac:dyDescent="0.2">
      <c r="B78" s="37"/>
      <c r="C78" s="36" t="s">
        <v>185</v>
      </c>
      <c r="D78" s="35">
        <f>23.4*O22^0.5</f>
        <v>22.578271855923781</v>
      </c>
      <c r="E78" t="s">
        <v>176</v>
      </c>
      <c r="F78" s="37"/>
      <c r="G78" s="46">
        <v>24497805.357311908</v>
      </c>
      <c r="H78" s="36"/>
    </row>
    <row r="79" spans="2:8" x14ac:dyDescent="0.2">
      <c r="B79" s="37"/>
      <c r="C79" s="36"/>
      <c r="D79" s="35">
        <v>19.8</v>
      </c>
      <c r="E79" t="s">
        <v>175</v>
      </c>
      <c r="F79" s="37"/>
      <c r="G79" s="46"/>
      <c r="H79" s="36"/>
    </row>
    <row r="80" spans="2:8" x14ac:dyDescent="0.2">
      <c r="B80" s="37"/>
      <c r="C80" s="36" t="s">
        <v>196</v>
      </c>
      <c r="D80" s="35">
        <f>4.9*O22^2</f>
        <v>4.2471289000000008</v>
      </c>
      <c r="E80" t="s">
        <v>176</v>
      </c>
      <c r="F80" s="37"/>
      <c r="G80" s="46">
        <f>1958327+1650285</f>
        <v>3608612</v>
      </c>
      <c r="H80" s="36"/>
    </row>
    <row r="81" spans="2:8" x14ac:dyDescent="0.2">
      <c r="B81" s="37"/>
      <c r="C81" s="36"/>
      <c r="D81" s="35">
        <v>1.5</v>
      </c>
      <c r="E81" t="s">
        <v>175</v>
      </c>
      <c r="F81" s="37"/>
      <c r="G81" s="46"/>
      <c r="H81" s="36"/>
    </row>
    <row r="82" spans="2:8" x14ac:dyDescent="0.2">
      <c r="B82" s="37"/>
      <c r="C82" s="36" t="s">
        <v>162</v>
      </c>
      <c r="F82" s="37"/>
      <c r="G82" s="46">
        <v>384478.96018424543</v>
      </c>
      <c r="H82" s="36"/>
    </row>
    <row r="83" spans="2:8" x14ac:dyDescent="0.2">
      <c r="B83" s="37"/>
      <c r="C83" s="36" t="s">
        <v>193</v>
      </c>
      <c r="F83" s="37"/>
      <c r="G83" s="46">
        <f>53365+43323</f>
        <v>96688</v>
      </c>
      <c r="H83" s="36"/>
    </row>
    <row r="84" spans="2:8" x14ac:dyDescent="0.2">
      <c r="B84" s="37" t="s">
        <v>163</v>
      </c>
      <c r="C84" s="36"/>
      <c r="F84" s="37"/>
      <c r="G84" s="37"/>
      <c r="H84" s="36"/>
    </row>
    <row r="85" spans="2:8" x14ac:dyDescent="0.2">
      <c r="B85" s="37"/>
      <c r="C85" s="36" t="s">
        <v>164</v>
      </c>
      <c r="D85" s="7">
        <v>678.83669567868083</v>
      </c>
      <c r="E85" t="s">
        <v>139</v>
      </c>
      <c r="F85" s="37">
        <v>1</v>
      </c>
      <c r="G85" s="46">
        <v>4760019.0537789296</v>
      </c>
      <c r="H85" s="36"/>
    </row>
    <row r="86" spans="2:8" x14ac:dyDescent="0.2">
      <c r="B86" s="37"/>
      <c r="C86" s="36" t="s">
        <v>165</v>
      </c>
      <c r="D86" s="7">
        <v>93.366798986868318</v>
      </c>
      <c r="E86" t="s">
        <v>139</v>
      </c>
      <c r="F86" s="37">
        <v>1</v>
      </c>
      <c r="G86" s="46">
        <v>163711.41764878685</v>
      </c>
      <c r="H86" s="36"/>
    </row>
    <row r="87" spans="2:8" x14ac:dyDescent="0.2">
      <c r="B87" s="37"/>
      <c r="C87" s="36" t="s">
        <v>136</v>
      </c>
      <c r="D87" s="7">
        <v>3438.2264404310627</v>
      </c>
      <c r="E87" t="s">
        <v>139</v>
      </c>
      <c r="F87" s="37">
        <v>1</v>
      </c>
      <c r="G87" s="46">
        <v>90305.100609106405</v>
      </c>
      <c r="H87" s="36"/>
    </row>
    <row r="88" spans="2:8" x14ac:dyDescent="0.2">
      <c r="B88" s="37"/>
      <c r="C88" s="36" t="s">
        <v>135</v>
      </c>
      <c r="D88" s="7">
        <v>2220.0984238289784</v>
      </c>
      <c r="E88" t="s">
        <v>139</v>
      </c>
      <c r="F88" s="37">
        <v>1</v>
      </c>
      <c r="G88" s="46">
        <v>4220356.0292740222</v>
      </c>
      <c r="H88" s="36"/>
    </row>
    <row r="89" spans="2:8" x14ac:dyDescent="0.2">
      <c r="B89" s="37"/>
      <c r="C89" s="36" t="s">
        <v>134</v>
      </c>
      <c r="D89" s="7">
        <v>1634.363320203282</v>
      </c>
      <c r="E89" t="s">
        <v>139</v>
      </c>
      <c r="F89" s="37">
        <v>1</v>
      </c>
      <c r="G89" s="46">
        <v>4805124.5101745008</v>
      </c>
      <c r="H89" s="36"/>
    </row>
    <row r="90" spans="2:8" x14ac:dyDescent="0.2">
      <c r="B90" s="37" t="s">
        <v>168</v>
      </c>
      <c r="C90" s="36"/>
      <c r="F90" s="37"/>
      <c r="G90" s="37"/>
      <c r="H90" s="36"/>
    </row>
    <row r="91" spans="2:8" x14ac:dyDescent="0.2">
      <c r="B91" s="37"/>
      <c r="C91" s="36" t="s">
        <v>181</v>
      </c>
      <c r="F91" s="37"/>
      <c r="G91" s="46">
        <v>2097557.7835307862</v>
      </c>
      <c r="H91" s="36"/>
    </row>
    <row r="92" spans="2:8" x14ac:dyDescent="0.2">
      <c r="B92" s="37"/>
      <c r="C92" s="36" t="s">
        <v>167</v>
      </c>
      <c r="D92" s="8">
        <f>7924*O22</f>
        <v>7377.2440000000006</v>
      </c>
      <c r="E92" t="s">
        <v>182</v>
      </c>
      <c r="F92" s="37"/>
      <c r="G92" s="46">
        <v>8523938.0678961687</v>
      </c>
      <c r="H92" s="36"/>
    </row>
    <row r="93" spans="2:8" x14ac:dyDescent="0.2">
      <c r="B93" s="37"/>
      <c r="C93" s="36" t="s">
        <v>194</v>
      </c>
      <c r="F93" s="37"/>
      <c r="G93" s="46">
        <v>3104139.6793527505</v>
      </c>
      <c r="H93" s="36"/>
    </row>
    <row r="94" spans="2:8" x14ac:dyDescent="0.2">
      <c r="B94" s="39"/>
      <c r="C94" s="41" t="s">
        <v>195</v>
      </c>
      <c r="D94" s="39"/>
      <c r="E94" s="41"/>
      <c r="F94" s="39"/>
      <c r="G94" s="47">
        <v>8362464.588492875</v>
      </c>
      <c r="H94" s="40"/>
    </row>
    <row r="95" spans="2:8" x14ac:dyDescent="0.2">
      <c r="B95" s="37" t="s">
        <v>155</v>
      </c>
      <c r="G95" s="50">
        <f>SUM(G64:G94)</f>
        <v>143197164.66819176</v>
      </c>
      <c r="H95" s="36"/>
    </row>
    <row r="96" spans="2:8" x14ac:dyDescent="0.2">
      <c r="B96" s="37" t="s">
        <v>187</v>
      </c>
      <c r="G96" s="46">
        <f>G95/581.8*615.9</f>
        <v>151590123.2711229</v>
      </c>
      <c r="H96" s="36"/>
    </row>
    <row r="97" spans="2:8" x14ac:dyDescent="0.2">
      <c r="B97" s="39" t="s">
        <v>188</v>
      </c>
      <c r="C97" s="41"/>
      <c r="D97" s="41"/>
      <c r="E97" s="41"/>
      <c r="F97" s="41"/>
      <c r="G97" s="47">
        <v>594196407.41509032</v>
      </c>
      <c r="H97" s="40"/>
    </row>
    <row r="99" spans="2:8" x14ac:dyDescent="0.2">
      <c r="B99" s="43" t="s">
        <v>80</v>
      </c>
      <c r="C99" s="44"/>
      <c r="D99" s="43" t="s">
        <v>148</v>
      </c>
      <c r="E99" s="44"/>
      <c r="F99" s="44"/>
      <c r="G99" s="43" t="s">
        <v>188</v>
      </c>
      <c r="H99" s="45"/>
    </row>
    <row r="100" spans="2:8" x14ac:dyDescent="0.2">
      <c r="B100" s="38"/>
      <c r="C100" s="18"/>
      <c r="D100" s="78">
        <v>32400.396251161161</v>
      </c>
      <c r="E100" s="18" t="s">
        <v>139</v>
      </c>
      <c r="F100" s="18"/>
      <c r="G100" s="49">
        <v>67351060.749551535</v>
      </c>
      <c r="H100" s="42"/>
    </row>
    <row r="102" spans="2:8" x14ac:dyDescent="0.2">
      <c r="B102">
        <v>1</v>
      </c>
      <c r="C102" t="s">
        <v>152</v>
      </c>
    </row>
    <row r="103" spans="2:8" x14ac:dyDescent="0.2">
      <c r="B103">
        <v>2</v>
      </c>
      <c r="C103" t="s">
        <v>151</v>
      </c>
    </row>
    <row r="104" spans="2:8" x14ac:dyDescent="0.2">
      <c r="B104">
        <v>3</v>
      </c>
      <c r="C104" t="s">
        <v>153</v>
      </c>
    </row>
    <row r="105" spans="2:8" x14ac:dyDescent="0.2">
      <c r="B105" s="15" t="s">
        <v>173</v>
      </c>
      <c r="C105" t="s">
        <v>180</v>
      </c>
    </row>
    <row r="106" spans="2:8" x14ac:dyDescent="0.2">
      <c r="B106" s="15" t="s">
        <v>179</v>
      </c>
      <c r="C106" t="s">
        <v>198</v>
      </c>
    </row>
    <row r="107" spans="2:8" x14ac:dyDescent="0.2">
      <c r="B107" s="15" t="s">
        <v>197</v>
      </c>
      <c r="C107" t="s">
        <v>174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2909-0651-4AA9-A6BD-9C12A430088E}">
  <dimension ref="B2:AA108"/>
  <sheetViews>
    <sheetView zoomScale="235" zoomScaleNormal="235" workbookViewId="0">
      <pane xSplit="3" topLeftCell="D1" activePane="topRight" state="frozen"/>
      <selection activeCell="A11" sqref="A11"/>
      <selection pane="topRight" activeCell="B2" sqref="B2"/>
    </sheetView>
  </sheetViews>
  <sheetFormatPr baseColWidth="10" defaultColWidth="8.83203125" defaultRowHeight="15" x14ac:dyDescent="0.2"/>
  <cols>
    <col min="2" max="2" width="3.1640625" customWidth="1"/>
    <col min="3" max="3" width="30" customWidth="1"/>
    <col min="4" max="6" width="11.6640625" customWidth="1"/>
    <col min="7" max="7" width="12.83203125" customWidth="1"/>
    <col min="8" max="8" width="12.6640625" customWidth="1"/>
    <col min="9" max="9" width="12.33203125" customWidth="1"/>
    <col min="10" max="10" width="13.1640625" customWidth="1"/>
    <col min="11" max="27" width="11.6640625" customWidth="1"/>
  </cols>
  <sheetData>
    <row r="2" spans="2:2" x14ac:dyDescent="0.2">
      <c r="B2" s="1" t="s">
        <v>285</v>
      </c>
    </row>
    <row r="22" spans="2:27" x14ac:dyDescent="0.2">
      <c r="B22" s="1" t="s">
        <v>0</v>
      </c>
      <c r="D22" t="s">
        <v>16</v>
      </c>
    </row>
    <row r="23" spans="2:27" x14ac:dyDescent="0.2">
      <c r="D23" t="s">
        <v>17</v>
      </c>
      <c r="F23">
        <v>0.93</v>
      </c>
    </row>
    <row r="24" spans="2:27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</row>
    <row r="25" spans="2:27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x14ac:dyDescent="0.2">
      <c r="C26" s="3" t="s">
        <v>2</v>
      </c>
      <c r="D26" s="3">
        <v>8.0999999999999996E-3</v>
      </c>
      <c r="E26" s="3"/>
      <c r="F26" s="3"/>
      <c r="G26" s="3">
        <v>9.4000000000000004E-3</v>
      </c>
      <c r="H26" s="3">
        <v>9.4000000000000004E-3</v>
      </c>
      <c r="I26" s="3">
        <v>1.0800000000000001E-2</v>
      </c>
      <c r="J26" s="3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0.14510000000000001</v>
      </c>
      <c r="H27" s="3">
        <v>0.14510000000000001</v>
      </c>
      <c r="I27" s="3">
        <v>1.67E-2</v>
      </c>
      <c r="J27" s="33">
        <v>7.0000000000000007E-2</v>
      </c>
      <c r="K27" s="3">
        <v>0.18859999999999999</v>
      </c>
      <c r="L27" s="3"/>
      <c r="M27" s="3">
        <v>0.18859999999999999</v>
      </c>
      <c r="N27" s="3">
        <v>0.18859999999999999</v>
      </c>
      <c r="O27" s="3">
        <v>7.0800000000000002E-2</v>
      </c>
      <c r="P27" s="33">
        <v>7.0000000000000007E-2</v>
      </c>
      <c r="Q27" s="3">
        <f>N27</f>
        <v>0.18859999999999999</v>
      </c>
      <c r="R27" s="3">
        <f>O27</f>
        <v>7.0800000000000002E-2</v>
      </c>
      <c r="S27" s="3">
        <v>2.3400000000000001E-2</v>
      </c>
      <c r="T27" s="3">
        <v>0.98770000000000002</v>
      </c>
      <c r="U27" s="3">
        <v>0.99760000000000004</v>
      </c>
      <c r="V27" s="3"/>
      <c r="W27" s="3"/>
      <c r="X27" s="3"/>
      <c r="Y27" s="3"/>
      <c r="Z27" s="3"/>
      <c r="AA27" s="3"/>
    </row>
    <row r="28" spans="2:27" x14ac:dyDescent="0.2">
      <c r="C28" s="3" t="s">
        <v>15</v>
      </c>
      <c r="D28" s="3"/>
      <c r="E28" s="3"/>
      <c r="F28" s="3"/>
      <c r="G28" s="3"/>
      <c r="H28" s="3"/>
      <c r="I28" s="32">
        <v>1.0000000000000001E-5</v>
      </c>
      <c r="J28" s="33">
        <v>0.62</v>
      </c>
      <c r="K28" s="3">
        <v>0.54630000000000001</v>
      </c>
      <c r="L28" s="33">
        <v>1</v>
      </c>
      <c r="M28" s="3">
        <v>0.54630000000000001</v>
      </c>
      <c r="N28" s="3">
        <v>0.54630000000000001</v>
      </c>
      <c r="O28" s="3">
        <v>0.62719999999999998</v>
      </c>
      <c r="P28" s="33">
        <v>0.62</v>
      </c>
      <c r="Q28" s="3">
        <f t="shared" ref="Q28:Q29" si="0">N28</f>
        <v>0.54630000000000001</v>
      </c>
      <c r="R28" s="3">
        <f t="shared" ref="R28:R29" si="1">O28</f>
        <v>0.62719999999999998</v>
      </c>
      <c r="S28" s="3">
        <v>6.4500000000000002E-2</v>
      </c>
      <c r="T28" s="3"/>
      <c r="U28" s="3"/>
      <c r="V28" s="3"/>
      <c r="W28" s="3"/>
      <c r="X28" s="3"/>
      <c r="Y28" s="3"/>
      <c r="Z28" s="3"/>
      <c r="AA28" s="3"/>
    </row>
    <row r="29" spans="2:27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9.2999999999999992E-3</v>
      </c>
      <c r="H29" s="3">
        <v>9.2999999999999992E-3</v>
      </c>
      <c r="I29" s="3">
        <v>8.8000000000000005E-3</v>
      </c>
      <c r="J29" s="33">
        <v>0.31</v>
      </c>
      <c r="K29" s="3">
        <v>0.2651</v>
      </c>
      <c r="L29" s="3"/>
      <c r="M29" s="3">
        <v>0.2651</v>
      </c>
      <c r="N29" s="3">
        <v>0.2651</v>
      </c>
      <c r="O29" s="33">
        <v>0.30199999999999999</v>
      </c>
      <c r="P29" s="33">
        <v>0.31</v>
      </c>
      <c r="Q29" s="3">
        <f t="shared" si="0"/>
        <v>0.2651</v>
      </c>
      <c r="R29" s="3">
        <f t="shared" si="1"/>
        <v>0.30199999999999999</v>
      </c>
      <c r="S29" s="3">
        <v>0.91210000000000002</v>
      </c>
      <c r="T29" s="3">
        <v>1.1900000000000001E-2</v>
      </c>
      <c r="U29" s="33">
        <v>2E-3</v>
      </c>
      <c r="V29" s="33">
        <v>1</v>
      </c>
      <c r="W29" s="33">
        <v>1</v>
      </c>
      <c r="X29" s="3"/>
      <c r="Y29" s="3"/>
      <c r="Z29" s="3"/>
      <c r="AA29" s="3"/>
    </row>
    <row r="30" spans="2:27" x14ac:dyDescent="0.2">
      <c r="C30" s="3" t="s">
        <v>5</v>
      </c>
      <c r="D30" s="3">
        <v>0.68130000000000002</v>
      </c>
      <c r="E30" s="3"/>
      <c r="F30" s="3"/>
      <c r="G30" s="3">
        <v>0.79359999999999997</v>
      </c>
      <c r="H30" s="3">
        <v>0.79359999999999997</v>
      </c>
      <c r="I30" s="3">
        <v>0.91449999999999998</v>
      </c>
      <c r="J30" s="33"/>
      <c r="K30" s="3"/>
      <c r="L30" s="3"/>
      <c r="M30" s="3"/>
      <c r="N30" s="3"/>
      <c r="O30" s="3"/>
      <c r="P30" s="3"/>
      <c r="Q30" s="3"/>
      <c r="R30" s="3"/>
      <c r="S30" s="3"/>
      <c r="T30" s="3">
        <v>4.0000000000000002E-4</v>
      </c>
      <c r="U30" s="3">
        <v>4.0000000000000002E-4</v>
      </c>
      <c r="V30" s="3"/>
      <c r="W30" s="3"/>
      <c r="X30" s="3"/>
      <c r="Y30" s="3"/>
      <c r="Z30" s="3"/>
      <c r="AA30" s="3"/>
    </row>
    <row r="31" spans="2:27" x14ac:dyDescent="0.2">
      <c r="C31" s="3" t="s">
        <v>6</v>
      </c>
      <c r="D31" s="3"/>
      <c r="E31" s="3"/>
      <c r="F31" s="3"/>
      <c r="G31" s="3"/>
      <c r="H31" s="3"/>
      <c r="I31" s="3"/>
      <c r="J31" s="3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3">
        <v>1</v>
      </c>
      <c r="Y31" s="33">
        <v>1</v>
      </c>
      <c r="Z31" s="33">
        <v>1</v>
      </c>
      <c r="AA31" s="33">
        <v>1</v>
      </c>
    </row>
    <row r="32" spans="2:27" x14ac:dyDescent="0.2">
      <c r="C32" s="3" t="s">
        <v>7</v>
      </c>
      <c r="D32" s="3">
        <v>3.6600000000000001E-2</v>
      </c>
      <c r="E32" s="3"/>
      <c r="F32" s="3"/>
      <c r="G32" s="3">
        <v>4.2599999999999999E-2</v>
      </c>
      <c r="H32" s="3">
        <v>4.2599999999999999E-2</v>
      </c>
      <c r="I32" s="3">
        <v>4.9099999999999998E-2</v>
      </c>
      <c r="J32" s="3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"/>
      <c r="Y33" s="3"/>
      <c r="Z33" s="3"/>
      <c r="AA33" s="3"/>
    </row>
    <row r="34" spans="2:27" x14ac:dyDescent="0.2">
      <c r="C34" s="3" t="s">
        <v>8</v>
      </c>
      <c r="D34" s="31">
        <f>116568*F23</f>
        <v>108408.24</v>
      </c>
      <c r="E34" s="31">
        <f>2401.7*F23</f>
        <v>2233.5810000000001</v>
      </c>
      <c r="F34" s="31">
        <f>F23*14087.3</f>
        <v>13101.189</v>
      </c>
      <c r="G34" s="31">
        <f>100079*F23</f>
        <v>93073.47</v>
      </c>
      <c r="H34" s="31">
        <f>G34</f>
        <v>93073.47</v>
      </c>
      <c r="I34" s="31">
        <f>86838*F23</f>
        <v>80759.340000000011</v>
      </c>
      <c r="J34" s="31">
        <f>90826.3*F23</f>
        <v>84468.459000000003</v>
      </c>
      <c r="K34" s="31">
        <f>M34</f>
        <v>95779.77</v>
      </c>
      <c r="L34" s="31">
        <f>L35/L41</f>
        <v>1.0859011627906978</v>
      </c>
      <c r="M34" s="31">
        <f>102989*F23</f>
        <v>95779.77</v>
      </c>
      <c r="N34" s="31">
        <f>92689.9*F23</f>
        <v>86201.607000000004</v>
      </c>
      <c r="O34" s="31">
        <f>89684.7*F23</f>
        <v>83406.771000000008</v>
      </c>
      <c r="P34" s="31">
        <f>J34</f>
        <v>84468.459000000003</v>
      </c>
      <c r="Q34" s="31">
        <f>10298.9*F23</f>
        <v>9577.9770000000008</v>
      </c>
      <c r="R34" s="31">
        <f>O34</f>
        <v>83406.771000000008</v>
      </c>
      <c r="S34" s="31">
        <f>66.7*F23</f>
        <v>62.031000000000006</v>
      </c>
      <c r="T34" s="31">
        <f>13236.8*F23</f>
        <v>12310.224</v>
      </c>
      <c r="U34" s="31">
        <f>13106.1*F23</f>
        <v>12188.673000000001</v>
      </c>
      <c r="V34" s="31">
        <f>31984.2*F23</f>
        <v>29745.306</v>
      </c>
      <c r="W34" s="31">
        <f>V34</f>
        <v>29745.306</v>
      </c>
      <c r="X34" s="31">
        <f>14242*F23</f>
        <v>13245.060000000001</v>
      </c>
      <c r="Y34" s="31">
        <f>X34</f>
        <v>13245.060000000001</v>
      </c>
      <c r="Z34" s="31">
        <f t="shared" ref="Z34:AA34" si="2">Y34</f>
        <v>13245.060000000001</v>
      </c>
      <c r="AA34" s="31">
        <f t="shared" si="2"/>
        <v>13245.060000000001</v>
      </c>
    </row>
    <row r="35" spans="2:27" x14ac:dyDescent="0.2">
      <c r="C35" s="3" t="s">
        <v>9</v>
      </c>
      <c r="D35" s="31">
        <f>3351890*F23</f>
        <v>3117257.7</v>
      </c>
      <c r="E35" s="31">
        <f>43270.2*F23</f>
        <v>40241.286</v>
      </c>
      <c r="F35" s="31">
        <f>F23*253821</f>
        <v>236053.53</v>
      </c>
      <c r="G35" s="31">
        <f>3054800*F23</f>
        <v>2840964</v>
      </c>
      <c r="H35" s="31">
        <f>G35</f>
        <v>2840964</v>
      </c>
      <c r="I35" s="31">
        <f>2476640*F23</f>
        <v>2303275.2000000002</v>
      </c>
      <c r="J35" s="31">
        <f>12970600*F23</f>
        <v>12062658</v>
      </c>
      <c r="K35" s="31">
        <f>M35</f>
        <v>12573321</v>
      </c>
      <c r="L35" s="31">
        <f>241*F23</f>
        <v>224.13000000000002</v>
      </c>
      <c r="M35" s="31">
        <f>13519700*F23</f>
        <v>12573321</v>
      </c>
      <c r="N35" s="31">
        <f>12167700*F23</f>
        <v>11315961</v>
      </c>
      <c r="O35" s="31">
        <f>12939100*F23</f>
        <v>12033363</v>
      </c>
      <c r="P35" s="31">
        <f>J35</f>
        <v>12062658</v>
      </c>
      <c r="Q35" s="31">
        <f>1351970*F23</f>
        <v>1257332.1000000001</v>
      </c>
      <c r="R35" s="31">
        <f>O35</f>
        <v>12033363</v>
      </c>
      <c r="S35" s="31">
        <f>2094.8*F23</f>
        <v>1948.1640000000002</v>
      </c>
      <c r="T35" s="31">
        <f>578356*F23</f>
        <v>537871.08000000007</v>
      </c>
      <c r="U35" s="31">
        <f>575999*F23</f>
        <v>535679.07000000007</v>
      </c>
      <c r="V35" s="31">
        <f>576204*F23</f>
        <v>535869.72</v>
      </c>
      <c r="W35" s="31">
        <f>V35</f>
        <v>535869.72</v>
      </c>
      <c r="X35" s="31">
        <f>242550*F23</f>
        <v>225571.5</v>
      </c>
      <c r="Y35" s="31">
        <f>X35</f>
        <v>225571.5</v>
      </c>
      <c r="Z35" s="31">
        <f t="shared" ref="Z35:AA35" si="3">Y35</f>
        <v>225571.5</v>
      </c>
      <c r="AA35" s="31">
        <f t="shared" si="3"/>
        <v>225571.5</v>
      </c>
    </row>
    <row r="36" spans="2:2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">
      <c r="C37" s="3" t="s">
        <v>10</v>
      </c>
      <c r="D37" s="3">
        <v>56.2</v>
      </c>
      <c r="E37" s="3">
        <v>6</v>
      </c>
      <c r="F37" s="3">
        <v>25.6</v>
      </c>
      <c r="G37" s="3">
        <v>6</v>
      </c>
      <c r="H37" s="3">
        <v>14.2</v>
      </c>
      <c r="I37" s="3">
        <v>6.1</v>
      </c>
      <c r="J37" s="3">
        <v>23.9</v>
      </c>
      <c r="K37" s="3">
        <v>36.1</v>
      </c>
      <c r="L37" s="3">
        <v>23.9</v>
      </c>
      <c r="M37" s="3">
        <v>36.200000000000003</v>
      </c>
      <c r="N37" s="3">
        <v>73.8</v>
      </c>
      <c r="O37" s="3">
        <v>86.8</v>
      </c>
      <c r="P37" s="3">
        <v>40</v>
      </c>
      <c r="Q37" s="3">
        <v>36.200000000000003</v>
      </c>
      <c r="R37" s="3">
        <v>86.7</v>
      </c>
      <c r="S37" s="3">
        <v>25.7</v>
      </c>
      <c r="T37" s="3">
        <v>25.6</v>
      </c>
      <c r="U37" s="3">
        <v>44.1</v>
      </c>
      <c r="V37" s="3">
        <v>129.1</v>
      </c>
      <c r="W37" s="3">
        <v>96.7</v>
      </c>
      <c r="X37" s="3">
        <v>3</v>
      </c>
      <c r="Y37" s="3">
        <v>60</v>
      </c>
      <c r="Z37" s="3">
        <v>26</v>
      </c>
      <c r="AA37" s="3">
        <v>2.5</v>
      </c>
    </row>
    <row r="38" spans="2:27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1.02</v>
      </c>
      <c r="J38" s="3">
        <v>1.38</v>
      </c>
      <c r="K38" s="3">
        <v>1.1000000000000001</v>
      </c>
      <c r="L38" s="3">
        <v>1.5</v>
      </c>
      <c r="M38" s="3">
        <v>6.5</v>
      </c>
      <c r="N38" s="3">
        <v>6</v>
      </c>
      <c r="O38" s="3">
        <v>6</v>
      </c>
      <c r="P38" s="3">
        <v>1.38</v>
      </c>
      <c r="Q38" s="3">
        <v>6.5</v>
      </c>
      <c r="R38" s="3">
        <v>2.4</v>
      </c>
      <c r="S38" s="3">
        <v>5.4</v>
      </c>
      <c r="T38" s="3">
        <v>2.2999999999999998</v>
      </c>
      <c r="U38" s="3">
        <v>152.69999999999999</v>
      </c>
      <c r="V38" s="3">
        <v>1.1000000000000001</v>
      </c>
      <c r="W38" s="3">
        <v>0.9</v>
      </c>
      <c r="X38" s="3">
        <v>4.7</v>
      </c>
      <c r="Y38" s="3">
        <v>10.5</v>
      </c>
      <c r="Z38" s="3">
        <v>10.5</v>
      </c>
      <c r="AA38" s="3">
        <v>4.7</v>
      </c>
    </row>
    <row r="39" spans="2:27" x14ac:dyDescent="0.2">
      <c r="C39" s="3" t="s">
        <v>12</v>
      </c>
      <c r="D39" s="34">
        <v>-2959</v>
      </c>
      <c r="E39" s="34">
        <v>-15952</v>
      </c>
      <c r="F39" s="34">
        <v>-15872</v>
      </c>
      <c r="G39" s="34">
        <v>-1965</v>
      </c>
      <c r="H39" s="34">
        <v>-1957</v>
      </c>
      <c r="I39" s="34">
        <v>-326</v>
      </c>
      <c r="J39" s="34">
        <v>-3063.4</v>
      </c>
      <c r="K39" s="34">
        <v>-3359.7</v>
      </c>
      <c r="L39" s="34">
        <v>-2342.8000000000002</v>
      </c>
      <c r="M39" s="34">
        <v>-3359</v>
      </c>
      <c r="N39" s="34">
        <v>-3225</v>
      </c>
      <c r="O39" s="34">
        <v>-2879</v>
      </c>
      <c r="P39" s="34">
        <v>-3024</v>
      </c>
      <c r="Q39" s="34">
        <v>-3359</v>
      </c>
      <c r="R39" s="34">
        <v>-2879.7</v>
      </c>
      <c r="S39" s="34">
        <v>-9716.7000000000007</v>
      </c>
      <c r="T39" s="34">
        <v>-8967.9</v>
      </c>
      <c r="U39" s="34">
        <v>-9156.2999999999993</v>
      </c>
      <c r="V39" s="34">
        <v>-13246.7</v>
      </c>
      <c r="W39" s="34">
        <v>-15575.1</v>
      </c>
      <c r="X39" s="34">
        <v>-2771.5</v>
      </c>
      <c r="Y39" s="34">
        <v>-2656</v>
      </c>
      <c r="Z39" s="34">
        <v>-3915</v>
      </c>
      <c r="AA39" s="34">
        <v>-3915</v>
      </c>
    </row>
    <row r="40" spans="2:27" x14ac:dyDescent="0.2">
      <c r="C40" s="3" t="s">
        <v>13</v>
      </c>
      <c r="D40" s="3">
        <v>1.1100000000000001</v>
      </c>
      <c r="E40" s="3">
        <v>999.8</v>
      </c>
      <c r="F40" s="3">
        <v>996.8</v>
      </c>
      <c r="G40" s="3">
        <v>1.34</v>
      </c>
      <c r="H40" s="3">
        <v>1.41</v>
      </c>
      <c r="I40" s="3">
        <v>1.25</v>
      </c>
      <c r="J40" s="3">
        <v>885.3</v>
      </c>
      <c r="K40" s="3">
        <v>959.9</v>
      </c>
      <c r="L40" s="3">
        <v>852.9</v>
      </c>
      <c r="M40" s="3">
        <v>959.8</v>
      </c>
      <c r="N40" s="3">
        <v>890.4</v>
      </c>
      <c r="O40" s="3">
        <v>835.1</v>
      </c>
      <c r="P40" s="3">
        <v>882.2</v>
      </c>
      <c r="Q40" s="3">
        <f>M40</f>
        <v>959.8</v>
      </c>
      <c r="R40" s="3">
        <v>835.2</v>
      </c>
      <c r="S40" s="3">
        <v>995.2</v>
      </c>
      <c r="T40" s="3">
        <v>4.12</v>
      </c>
      <c r="U40" s="3">
        <v>489.5</v>
      </c>
      <c r="V40" s="3">
        <v>0.6</v>
      </c>
      <c r="W40" s="3">
        <v>960.7</v>
      </c>
      <c r="X40" s="3">
        <v>3.75</v>
      </c>
      <c r="Y40" s="3">
        <v>6.97</v>
      </c>
      <c r="Z40" s="3">
        <v>601.6</v>
      </c>
      <c r="AA40" s="3">
        <v>40.200000000000003</v>
      </c>
    </row>
    <row r="41" spans="2:27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30.52</v>
      </c>
      <c r="H41" s="3">
        <v>30.52</v>
      </c>
      <c r="I41" s="3">
        <v>28.52</v>
      </c>
      <c r="J41" s="3">
        <v>142.80000000000001</v>
      </c>
      <c r="K41" s="3">
        <v>131.30000000000001</v>
      </c>
      <c r="L41" s="3">
        <v>206.4</v>
      </c>
      <c r="M41" s="3">
        <v>131.30000000000001</v>
      </c>
      <c r="N41" s="3">
        <v>131.30000000000001</v>
      </c>
      <c r="O41" s="3">
        <v>144.19999999999999</v>
      </c>
      <c r="P41" s="3">
        <v>142.80000000000001</v>
      </c>
      <c r="Q41" s="3">
        <f>M41</f>
        <v>131.30000000000001</v>
      </c>
      <c r="R41" s="3">
        <f>O41</f>
        <v>144.19999999999999</v>
      </c>
      <c r="S41" s="3">
        <v>31.4</v>
      </c>
      <c r="T41" s="3">
        <v>43.69</v>
      </c>
      <c r="U41" s="3">
        <v>43.9</v>
      </c>
      <c r="V41" s="3">
        <v>18.010000000000002</v>
      </c>
      <c r="W41" s="3">
        <v>18.010000000000002</v>
      </c>
      <c r="X41" s="3">
        <v>17.03</v>
      </c>
      <c r="Y41" s="3">
        <v>17.03</v>
      </c>
      <c r="Z41" s="3">
        <v>17.03</v>
      </c>
      <c r="AA41" s="3">
        <v>17.03</v>
      </c>
    </row>
    <row r="43" spans="2:27" x14ac:dyDescent="0.2">
      <c r="B43" s="1" t="s">
        <v>132</v>
      </c>
      <c r="D43" t="s">
        <v>199</v>
      </c>
    </row>
    <row r="45" spans="2:27" x14ac:dyDescent="0.2">
      <c r="C45" s="53" t="s">
        <v>138</v>
      </c>
      <c r="D45" s="18"/>
      <c r="E45" s="42"/>
    </row>
    <row r="46" spans="2:27" x14ac:dyDescent="0.2">
      <c r="C46" s="37" t="s">
        <v>133</v>
      </c>
      <c r="D46" s="7">
        <f>9331.2*F23</f>
        <v>8678.0160000000014</v>
      </c>
      <c r="E46" s="36" t="s">
        <v>139</v>
      </c>
    </row>
    <row r="47" spans="2:27" x14ac:dyDescent="0.2">
      <c r="C47" s="37" t="s">
        <v>134</v>
      </c>
      <c r="D47" s="7">
        <f>1820.2*F23</f>
        <v>1692.7860000000001</v>
      </c>
      <c r="E47" s="36" t="s">
        <v>139</v>
      </c>
    </row>
    <row r="48" spans="2:27" x14ac:dyDescent="0.2">
      <c r="C48" s="37" t="s">
        <v>135</v>
      </c>
      <c r="D48" s="7">
        <f>2460.7*F23</f>
        <v>2288.451</v>
      </c>
      <c r="E48" s="36" t="s">
        <v>139</v>
      </c>
    </row>
    <row r="49" spans="2:8" x14ac:dyDescent="0.2">
      <c r="C49" s="37" t="s">
        <v>136</v>
      </c>
      <c r="D49" s="7">
        <f>406.3*F23</f>
        <v>377.85900000000004</v>
      </c>
      <c r="E49" s="36" t="s">
        <v>139</v>
      </c>
    </row>
    <row r="50" spans="2:8" x14ac:dyDescent="0.2">
      <c r="C50" s="37" t="s">
        <v>172</v>
      </c>
      <c r="D50" s="7">
        <f>D91</f>
        <v>2</v>
      </c>
      <c r="E50" s="36" t="s">
        <v>139</v>
      </c>
    </row>
    <row r="51" spans="2:8" x14ac:dyDescent="0.2">
      <c r="C51" s="37" t="s">
        <v>137</v>
      </c>
      <c r="D51" s="7">
        <f>6862.7*F23</f>
        <v>6382.3110000000006</v>
      </c>
      <c r="E51" s="36" t="s">
        <v>139</v>
      </c>
    </row>
    <row r="52" spans="2:8" x14ac:dyDescent="0.2">
      <c r="C52" s="39" t="s">
        <v>141</v>
      </c>
      <c r="D52" s="52">
        <v>37930</v>
      </c>
      <c r="E52" s="40" t="s">
        <v>139</v>
      </c>
    </row>
    <row r="54" spans="2:8" x14ac:dyDescent="0.2">
      <c r="C54" s="53" t="s">
        <v>140</v>
      </c>
      <c r="D54" s="18"/>
      <c r="E54" s="42"/>
    </row>
    <row r="55" spans="2:8" x14ac:dyDescent="0.2">
      <c r="C55" s="37" t="s">
        <v>144</v>
      </c>
      <c r="D55" s="35">
        <f>(305.4+5.6)*F23</f>
        <v>289.23</v>
      </c>
      <c r="E55" s="36" t="s">
        <v>142</v>
      </c>
    </row>
    <row r="56" spans="2:8" x14ac:dyDescent="0.2">
      <c r="C56" s="37" t="s">
        <v>143</v>
      </c>
      <c r="D56" s="35">
        <f>D69+D70</f>
        <v>622.19293130304163</v>
      </c>
      <c r="E56" s="36" t="s">
        <v>142</v>
      </c>
    </row>
    <row r="57" spans="2:8" x14ac:dyDescent="0.2">
      <c r="C57" s="37" t="s">
        <v>145</v>
      </c>
      <c r="D57" s="35">
        <f>D72</f>
        <v>470.34922384892718</v>
      </c>
      <c r="E57" s="36" t="s">
        <v>142</v>
      </c>
    </row>
    <row r="58" spans="2:8" x14ac:dyDescent="0.2">
      <c r="C58" s="37" t="s">
        <v>146</v>
      </c>
      <c r="D58" s="35">
        <f>27.2*F23</f>
        <v>25.295999999999999</v>
      </c>
      <c r="E58" s="36" t="s">
        <v>142</v>
      </c>
    </row>
    <row r="59" spans="2:8" x14ac:dyDescent="0.2">
      <c r="C59" s="39" t="s">
        <v>147</v>
      </c>
      <c r="D59" s="54">
        <f>729.5*F23</f>
        <v>678.43500000000006</v>
      </c>
      <c r="E59" s="40" t="s">
        <v>142</v>
      </c>
    </row>
    <row r="61" spans="2:8" x14ac:dyDescent="0.2">
      <c r="B61" s="1" t="s">
        <v>150</v>
      </c>
    </row>
    <row r="63" spans="2:8" x14ac:dyDescent="0.2">
      <c r="B63" s="43" t="s">
        <v>189</v>
      </c>
      <c r="C63" s="44"/>
      <c r="D63" s="43" t="s">
        <v>148</v>
      </c>
      <c r="E63" s="44"/>
      <c r="F63" s="43" t="s">
        <v>154</v>
      </c>
      <c r="G63" s="43" t="s">
        <v>169</v>
      </c>
      <c r="H63" s="45"/>
    </row>
    <row r="64" spans="2:8" x14ac:dyDescent="0.2">
      <c r="B64" s="37" t="s">
        <v>149</v>
      </c>
      <c r="C64" s="36"/>
      <c r="F64" s="37"/>
      <c r="G64" s="37"/>
      <c r="H64" s="36"/>
    </row>
    <row r="65" spans="2:8" x14ac:dyDescent="0.2">
      <c r="B65" s="37"/>
      <c r="C65" s="36" t="s">
        <v>137</v>
      </c>
      <c r="D65" s="15">
        <v>6382</v>
      </c>
      <c r="E65" t="s">
        <v>139</v>
      </c>
      <c r="F65" s="37"/>
      <c r="G65" s="46">
        <v>9464120.943375336</v>
      </c>
      <c r="H65" s="36"/>
    </row>
    <row r="66" spans="2:8" x14ac:dyDescent="0.2">
      <c r="B66" s="37" t="s">
        <v>156</v>
      </c>
      <c r="C66" s="36"/>
      <c r="D66" s="15"/>
      <c r="F66" s="37"/>
      <c r="G66" s="37"/>
      <c r="H66" s="36"/>
    </row>
    <row r="67" spans="2:8" x14ac:dyDescent="0.2">
      <c r="B67" s="37"/>
      <c r="C67" s="36" t="s">
        <v>147</v>
      </c>
      <c r="D67" s="48">
        <v>679.2</v>
      </c>
      <c r="E67" t="s">
        <v>142</v>
      </c>
      <c r="F67" s="37"/>
      <c r="G67" s="46">
        <v>9349521.1776437778</v>
      </c>
      <c r="H67" s="36"/>
    </row>
    <row r="68" spans="2:8" x14ac:dyDescent="0.2">
      <c r="B68" s="37"/>
      <c r="C68" s="36" t="s">
        <v>170</v>
      </c>
      <c r="D68" s="15">
        <v>156.5</v>
      </c>
      <c r="E68" t="s">
        <v>142</v>
      </c>
      <c r="F68" s="37"/>
      <c r="G68" s="46">
        <v>398547.8306005898</v>
      </c>
      <c r="H68" s="36"/>
    </row>
    <row r="69" spans="2:8" x14ac:dyDescent="0.2">
      <c r="B69" s="37"/>
      <c r="C69" s="36" t="s">
        <v>157</v>
      </c>
      <c r="D69" s="48">
        <v>306.58782122178866</v>
      </c>
      <c r="E69" t="s">
        <v>142</v>
      </c>
      <c r="F69" s="37"/>
      <c r="G69" s="46">
        <v>1822187.1693870476</v>
      </c>
      <c r="H69" s="36"/>
    </row>
    <row r="70" spans="2:8" x14ac:dyDescent="0.2">
      <c r="B70" s="37"/>
      <c r="C70" s="36" t="s">
        <v>158</v>
      </c>
      <c r="D70" s="48">
        <v>315.60511008125303</v>
      </c>
      <c r="E70" t="s">
        <v>142</v>
      </c>
      <c r="F70" s="37"/>
      <c r="G70" s="46">
        <v>1828103.9014482775</v>
      </c>
      <c r="H70" s="36"/>
    </row>
    <row r="71" spans="2:8" x14ac:dyDescent="0.2">
      <c r="B71" s="37"/>
      <c r="C71" s="36" t="s">
        <v>159</v>
      </c>
      <c r="D71" s="48">
        <v>1516.0200692798451</v>
      </c>
      <c r="E71" t="s">
        <v>142</v>
      </c>
      <c r="F71" s="37"/>
      <c r="G71" s="46">
        <v>12404958.213859966</v>
      </c>
      <c r="H71" s="36"/>
    </row>
    <row r="72" spans="2:8" x14ac:dyDescent="0.2">
      <c r="B72" s="37"/>
      <c r="C72" s="36" t="s">
        <v>171</v>
      </c>
      <c r="D72" s="48">
        <v>470.34922384892718</v>
      </c>
      <c r="E72" t="s">
        <v>142</v>
      </c>
      <c r="F72" s="37"/>
      <c r="G72" s="46">
        <v>3733334.7259841082</v>
      </c>
      <c r="H72" s="36"/>
    </row>
    <row r="73" spans="2:8" x14ac:dyDescent="0.2">
      <c r="B73" s="37"/>
      <c r="C73" s="36" t="s">
        <v>160</v>
      </c>
      <c r="D73" s="48">
        <v>1247.2026033529057</v>
      </c>
      <c r="E73" t="s">
        <v>142</v>
      </c>
      <c r="F73" s="37"/>
      <c r="G73" s="46">
        <v>9064143.4554373324</v>
      </c>
      <c r="H73" s="36"/>
    </row>
    <row r="74" spans="2:8" x14ac:dyDescent="0.2">
      <c r="B74" s="37"/>
      <c r="C74" s="36" t="s">
        <v>146</v>
      </c>
      <c r="D74" s="48">
        <v>25.285593502827929</v>
      </c>
      <c r="E74" t="s">
        <v>142</v>
      </c>
      <c r="F74" s="37"/>
      <c r="G74" s="46">
        <v>84644.428991161549</v>
      </c>
      <c r="H74" s="36"/>
    </row>
    <row r="75" spans="2:8" x14ac:dyDescent="0.2">
      <c r="B75" s="37"/>
      <c r="C75" s="36" t="s">
        <v>161</v>
      </c>
      <c r="D75" s="48">
        <v>101.42125923376938</v>
      </c>
      <c r="E75" t="s">
        <v>142</v>
      </c>
      <c r="F75" s="37"/>
      <c r="G75" s="46">
        <v>221896.26091976691</v>
      </c>
      <c r="H75" s="36"/>
    </row>
    <row r="76" spans="2:8" x14ac:dyDescent="0.2">
      <c r="B76" s="37" t="s">
        <v>183</v>
      </c>
      <c r="C76" s="36"/>
      <c r="F76" s="37"/>
      <c r="G76" s="37"/>
      <c r="H76" s="36"/>
    </row>
    <row r="77" spans="2:8" x14ac:dyDescent="0.2">
      <c r="B77" s="37"/>
      <c r="C77" s="36" t="s">
        <v>184</v>
      </c>
      <c r="D77" s="48">
        <f>19.6*F23^0.5</f>
        <v>18.901555491546194</v>
      </c>
      <c r="E77" t="s">
        <v>176</v>
      </c>
      <c r="F77" s="37"/>
      <c r="G77" s="46">
        <v>16801169.277318139</v>
      </c>
      <c r="H77" s="36"/>
    </row>
    <row r="78" spans="2:8" x14ac:dyDescent="0.2">
      <c r="B78" s="37"/>
      <c r="C78" s="36"/>
      <c r="D78" s="35">
        <v>16</v>
      </c>
      <c r="E78" t="s">
        <v>175</v>
      </c>
      <c r="F78" s="37"/>
      <c r="G78" s="46"/>
      <c r="H78" s="36"/>
    </row>
    <row r="79" spans="2:8" x14ac:dyDescent="0.2">
      <c r="B79" s="37"/>
      <c r="C79" s="36" t="s">
        <v>185</v>
      </c>
      <c r="D79" s="35">
        <f>23*F23^0.5</f>
        <v>22.180396750283798</v>
      </c>
      <c r="E79" t="s">
        <v>176</v>
      </c>
      <c r="F79" s="37"/>
      <c r="G79" s="46">
        <v>24232868.240277681</v>
      </c>
      <c r="H79" s="36"/>
    </row>
    <row r="80" spans="2:8" x14ac:dyDescent="0.2">
      <c r="B80" s="37"/>
      <c r="C80" s="36"/>
      <c r="D80" s="35">
        <v>19.8</v>
      </c>
      <c r="E80" t="s">
        <v>175</v>
      </c>
      <c r="F80" s="37"/>
      <c r="G80" s="46"/>
      <c r="H80" s="36"/>
    </row>
    <row r="81" spans="2:8" x14ac:dyDescent="0.2">
      <c r="B81" s="37"/>
      <c r="C81" s="36" t="s">
        <v>186</v>
      </c>
      <c r="D81" s="35">
        <f>11.6*F23^0.5</f>
        <v>11.186634882751829</v>
      </c>
      <c r="E81" t="s">
        <v>176</v>
      </c>
      <c r="F81" s="37"/>
      <c r="G81" s="46">
        <v>9359427.4705501702</v>
      </c>
      <c r="H81" s="36"/>
    </row>
    <row r="82" spans="2:8" x14ac:dyDescent="0.2">
      <c r="B82" s="37"/>
      <c r="C82" s="36"/>
      <c r="D82" s="35">
        <v>12</v>
      </c>
      <c r="E82" t="s">
        <v>175</v>
      </c>
      <c r="F82" s="37"/>
      <c r="G82" s="46"/>
      <c r="H82" s="36"/>
    </row>
    <row r="83" spans="2:8" x14ac:dyDescent="0.2">
      <c r="B83" s="37"/>
      <c r="C83" s="36" t="s">
        <v>162</v>
      </c>
      <c r="F83" s="37"/>
      <c r="G83" s="46">
        <v>384237.91520353942</v>
      </c>
      <c r="H83" s="36"/>
    </row>
    <row r="84" spans="2:8" x14ac:dyDescent="0.2">
      <c r="B84" s="37"/>
      <c r="C84" t="s">
        <v>235</v>
      </c>
      <c r="F84" s="37"/>
      <c r="G84" s="46">
        <v>55338.197765852761</v>
      </c>
      <c r="H84" s="36"/>
    </row>
    <row r="85" spans="2:8" x14ac:dyDescent="0.2">
      <c r="B85" s="37" t="s">
        <v>163</v>
      </c>
      <c r="C85" s="36"/>
      <c r="F85" s="37"/>
      <c r="G85" s="37"/>
      <c r="H85" s="36"/>
    </row>
    <row r="86" spans="2:8" x14ac:dyDescent="0.2">
      <c r="B86" s="37"/>
      <c r="C86" s="36" t="s">
        <v>164</v>
      </c>
      <c r="D86">
        <v>885</v>
      </c>
      <c r="E86" t="s">
        <v>139</v>
      </c>
      <c r="F86" s="37">
        <v>1</v>
      </c>
      <c r="G86" s="46">
        <v>2356820.10470259</v>
      </c>
      <c r="H86" s="36"/>
    </row>
    <row r="87" spans="2:8" x14ac:dyDescent="0.2">
      <c r="B87" s="37"/>
      <c r="C87" s="36" t="s">
        <v>165</v>
      </c>
      <c r="D87">
        <v>222</v>
      </c>
      <c r="E87" t="s">
        <v>139</v>
      </c>
      <c r="F87" s="37">
        <v>1</v>
      </c>
      <c r="G87" s="46">
        <v>231407.08495855395</v>
      </c>
      <c r="H87" s="36"/>
    </row>
    <row r="88" spans="2:8" x14ac:dyDescent="0.2">
      <c r="B88" s="37"/>
      <c r="C88" s="36" t="s">
        <v>136</v>
      </c>
      <c r="D88" s="7">
        <v>377.96477544019422</v>
      </c>
      <c r="E88" t="s">
        <v>139</v>
      </c>
      <c r="F88" s="37">
        <v>1</v>
      </c>
      <c r="G88" s="46">
        <v>417774.957846709</v>
      </c>
      <c r="H88" s="36"/>
    </row>
    <row r="89" spans="2:8" x14ac:dyDescent="0.2">
      <c r="B89" s="37"/>
      <c r="C89" s="36" t="s">
        <v>135</v>
      </c>
      <c r="D89" s="8">
        <f>D48</f>
        <v>2288.451</v>
      </c>
      <c r="E89" t="s">
        <v>139</v>
      </c>
      <c r="F89" s="37">
        <v>1</v>
      </c>
      <c r="G89" s="46">
        <v>4305790.0608437937</v>
      </c>
      <c r="H89" s="36"/>
    </row>
    <row r="90" spans="2:8" x14ac:dyDescent="0.2">
      <c r="B90" s="37"/>
      <c r="C90" s="36" t="s">
        <v>134</v>
      </c>
      <c r="D90" s="8">
        <f>D47</f>
        <v>1692.7860000000001</v>
      </c>
      <c r="E90" t="s">
        <v>139</v>
      </c>
      <c r="F90" s="37">
        <v>1</v>
      </c>
      <c r="G90" s="46">
        <v>4918165.3990941551</v>
      </c>
      <c r="H90" s="36"/>
    </row>
    <row r="91" spans="2:8" x14ac:dyDescent="0.2">
      <c r="B91" s="37"/>
      <c r="C91" s="36" t="s">
        <v>166</v>
      </c>
      <c r="D91">
        <v>2</v>
      </c>
      <c r="E91" t="s">
        <v>139</v>
      </c>
      <c r="F91" s="37">
        <v>1</v>
      </c>
      <c r="G91" s="46">
        <v>20860.171652658741</v>
      </c>
      <c r="H91" s="36"/>
    </row>
    <row r="92" spans="2:8" x14ac:dyDescent="0.2">
      <c r="B92" s="37" t="s">
        <v>168</v>
      </c>
      <c r="C92" s="36"/>
      <c r="F92" s="37"/>
      <c r="G92" s="37"/>
      <c r="H92" s="36"/>
    </row>
    <row r="93" spans="2:8" x14ac:dyDescent="0.2">
      <c r="B93" s="37"/>
      <c r="C93" s="36" t="s">
        <v>181</v>
      </c>
      <c r="F93" s="37"/>
      <c r="G93" s="46">
        <v>2139827.5365402638</v>
      </c>
      <c r="H93" s="36"/>
    </row>
    <row r="94" spans="2:8" x14ac:dyDescent="0.2">
      <c r="B94" s="37"/>
      <c r="C94" s="36" t="s">
        <v>167</v>
      </c>
      <c r="D94" s="8">
        <f>21913*F23</f>
        <v>20379.09</v>
      </c>
      <c r="E94" t="s">
        <v>182</v>
      </c>
      <c r="F94" s="37"/>
      <c r="G94" s="46">
        <v>17897267.776107091</v>
      </c>
      <c r="H94" s="36"/>
    </row>
    <row r="95" spans="2:8" x14ac:dyDescent="0.2">
      <c r="B95" s="37"/>
      <c r="C95" s="36" t="s">
        <v>177</v>
      </c>
      <c r="F95" s="37"/>
      <c r="G95" s="46">
        <v>3158927.4521511476</v>
      </c>
      <c r="H95" s="36"/>
    </row>
    <row r="96" spans="2:8" x14ac:dyDescent="0.2">
      <c r="B96" s="39"/>
      <c r="C96" s="41" t="s">
        <v>178</v>
      </c>
      <c r="D96" s="39"/>
      <c r="E96" s="41"/>
      <c r="F96" s="39"/>
      <c r="G96" s="47">
        <v>10936222.772752101</v>
      </c>
      <c r="H96" s="40"/>
    </row>
    <row r="97" spans="2:8" x14ac:dyDescent="0.2">
      <c r="B97" s="37" t="s">
        <v>155</v>
      </c>
      <c r="G97" s="50">
        <f>SUM(G65:G96)</f>
        <v>145587562.52541181</v>
      </c>
      <c r="H97" s="36"/>
    </row>
    <row r="98" spans="2:8" x14ac:dyDescent="0.2">
      <c r="B98" s="37" t="s">
        <v>187</v>
      </c>
      <c r="G98" s="46">
        <f>G97/581.8*615.9</f>
        <v>154120625.23100919</v>
      </c>
      <c r="H98" s="36"/>
    </row>
    <row r="99" spans="2:8" x14ac:dyDescent="0.2">
      <c r="B99" s="39" t="s">
        <v>188</v>
      </c>
      <c r="C99" s="41"/>
      <c r="D99" s="41"/>
      <c r="E99" s="41"/>
      <c r="F99" s="41"/>
      <c r="G99" s="47">
        <v>603466988</v>
      </c>
      <c r="H99" s="40"/>
    </row>
    <row r="101" spans="2:8" x14ac:dyDescent="0.2">
      <c r="B101" s="43" t="s">
        <v>80</v>
      </c>
      <c r="C101" s="44"/>
      <c r="D101" s="43" t="s">
        <v>148</v>
      </c>
      <c r="E101" s="44"/>
      <c r="F101" s="44"/>
      <c r="G101" s="43" t="s">
        <v>188</v>
      </c>
      <c r="H101" s="45"/>
    </row>
    <row r="102" spans="2:8" x14ac:dyDescent="0.2">
      <c r="B102" s="38"/>
      <c r="C102" s="18"/>
      <c r="D102" s="51">
        <f>D52</f>
        <v>37930</v>
      </c>
      <c r="E102" s="18" t="s">
        <v>139</v>
      </c>
      <c r="F102" s="18"/>
      <c r="G102" s="49">
        <v>76705677</v>
      </c>
      <c r="H102" s="42"/>
    </row>
    <row r="104" spans="2:8" x14ac:dyDescent="0.2">
      <c r="B104">
        <v>1</v>
      </c>
      <c r="C104" t="s">
        <v>152</v>
      </c>
    </row>
    <row r="105" spans="2:8" x14ac:dyDescent="0.2">
      <c r="B105">
        <v>2</v>
      </c>
      <c r="C105" t="s">
        <v>151</v>
      </c>
    </row>
    <row r="106" spans="2:8" x14ac:dyDescent="0.2">
      <c r="B106">
        <v>3</v>
      </c>
      <c r="C106" t="s">
        <v>153</v>
      </c>
    </row>
    <row r="107" spans="2:8" x14ac:dyDescent="0.2">
      <c r="B107" s="15" t="s">
        <v>173</v>
      </c>
      <c r="C107" t="s">
        <v>180</v>
      </c>
    </row>
    <row r="108" spans="2:8" x14ac:dyDescent="0.2">
      <c r="B108" s="15" t="s">
        <v>179</v>
      </c>
      <c r="C108" t="s">
        <v>174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E8CE-57BE-4D0F-9924-B2C8F114E7F2}">
  <dimension ref="B2:AF107"/>
  <sheetViews>
    <sheetView zoomScale="220" zoomScaleNormal="220" workbookViewId="0">
      <pane xSplit="3" topLeftCell="D1" activePane="topRight" state="frozen"/>
      <selection pane="topRight" activeCell="B2" sqref="B2"/>
    </sheetView>
  </sheetViews>
  <sheetFormatPr baseColWidth="10" defaultColWidth="8.83203125" defaultRowHeight="15" x14ac:dyDescent="0.2"/>
  <cols>
    <col min="2" max="2" width="3.5" customWidth="1"/>
    <col min="3" max="3" width="32.1640625" customWidth="1"/>
    <col min="4" max="4" width="10.83203125" customWidth="1"/>
    <col min="5" max="5" width="12.1640625" customWidth="1"/>
    <col min="6" max="6" width="10.83203125" customWidth="1"/>
    <col min="7" max="7" width="12.83203125" customWidth="1"/>
    <col min="8" max="8" width="12.1640625" customWidth="1"/>
    <col min="9" max="9" width="12.83203125" customWidth="1"/>
    <col min="10" max="10" width="12.5" customWidth="1"/>
    <col min="11" max="32" width="10.83203125" customWidth="1"/>
  </cols>
  <sheetData>
    <row r="2" spans="2:2" x14ac:dyDescent="0.2">
      <c r="B2" s="1" t="s">
        <v>285</v>
      </c>
    </row>
    <row r="22" spans="2:32" x14ac:dyDescent="0.2">
      <c r="B22" s="1" t="s">
        <v>0</v>
      </c>
      <c r="D22" t="s">
        <v>16</v>
      </c>
      <c r="M22" t="s">
        <v>17</v>
      </c>
      <c r="O22">
        <v>0.92500000000000004</v>
      </c>
    </row>
    <row r="24" spans="2:32" x14ac:dyDescent="0.2">
      <c r="C24" s="2"/>
      <c r="D24" s="55">
        <v>1</v>
      </c>
      <c r="E24" s="55">
        <v>2</v>
      </c>
      <c r="F24" s="55">
        <v>3</v>
      </c>
      <c r="G24" s="55">
        <v>4</v>
      </c>
      <c r="H24" s="55">
        <v>5</v>
      </c>
      <c r="I24" s="55">
        <v>6</v>
      </c>
      <c r="J24" s="55">
        <v>7</v>
      </c>
      <c r="K24" s="55">
        <v>8</v>
      </c>
      <c r="L24" s="55">
        <v>9</v>
      </c>
      <c r="M24" s="55">
        <v>10</v>
      </c>
      <c r="N24" s="2">
        <v>11</v>
      </c>
      <c r="O24" s="2">
        <v>12</v>
      </c>
      <c r="P24" s="55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  <c r="AB24" s="2">
        <v>25</v>
      </c>
      <c r="AC24" s="2">
        <v>26</v>
      </c>
      <c r="AD24" s="2">
        <v>27</v>
      </c>
      <c r="AE24" s="2">
        <v>28</v>
      </c>
      <c r="AF24" s="2">
        <v>29</v>
      </c>
    </row>
    <row r="25" spans="2:32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2:32" x14ac:dyDescent="0.2">
      <c r="C26" s="3" t="s">
        <v>2</v>
      </c>
      <c r="D26" s="3">
        <v>8.0999999999999996E-3</v>
      </c>
      <c r="E26" s="3"/>
      <c r="F26" s="3"/>
      <c r="G26" s="3">
        <v>9.4000000000000004E-3</v>
      </c>
      <c r="H26" s="3">
        <v>9.4000000000000004E-3</v>
      </c>
      <c r="I26" s="3">
        <v>1.0800000000000001E-2</v>
      </c>
      <c r="J26" s="3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2:32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0.14510000000000001</v>
      </c>
      <c r="H27" s="3">
        <v>0.14510000000000001</v>
      </c>
      <c r="I27" s="3">
        <v>1.67E-2</v>
      </c>
      <c r="J27" s="33">
        <v>7.0000000000000007E-2</v>
      </c>
      <c r="K27" s="3">
        <v>0.18859999999999999</v>
      </c>
      <c r="L27" s="3"/>
      <c r="M27" s="3">
        <v>0.18859999999999999</v>
      </c>
      <c r="N27" s="57">
        <v>0.18859999999999999</v>
      </c>
      <c r="O27" s="57">
        <v>7.0900000000000005E-2</v>
      </c>
      <c r="P27" s="33">
        <v>7.0000000000000007E-2</v>
      </c>
      <c r="Q27" s="3">
        <f>N27</f>
        <v>0.18859999999999999</v>
      </c>
      <c r="R27" s="3">
        <f>N27</f>
        <v>0.18859999999999999</v>
      </c>
      <c r="S27" s="3">
        <v>0.91830000000000001</v>
      </c>
      <c r="T27" s="3">
        <v>0.1426</v>
      </c>
      <c r="U27" s="3">
        <f>T27</f>
        <v>0.1426</v>
      </c>
      <c r="V27" s="3">
        <v>0.9758</v>
      </c>
      <c r="W27" s="3">
        <f>O27</f>
        <v>7.0900000000000005E-2</v>
      </c>
      <c r="X27" s="3">
        <v>0.99370000000000003</v>
      </c>
      <c r="Y27" s="33">
        <v>0.98699999999999999</v>
      </c>
      <c r="Z27" s="3">
        <v>0.99760000000000004</v>
      </c>
      <c r="AA27" s="3"/>
      <c r="AB27" s="3"/>
      <c r="AC27" s="3"/>
      <c r="AD27" s="3"/>
      <c r="AE27" s="3"/>
      <c r="AF27" s="3"/>
    </row>
    <row r="28" spans="2:32" x14ac:dyDescent="0.2">
      <c r="C28" s="3" t="s">
        <v>15</v>
      </c>
      <c r="D28" s="3"/>
      <c r="E28" s="3"/>
      <c r="F28" s="3"/>
      <c r="G28" s="3"/>
      <c r="H28" s="3"/>
      <c r="I28" s="32">
        <v>1.0000000000000001E-5</v>
      </c>
      <c r="J28" s="33">
        <v>0.62</v>
      </c>
      <c r="K28" s="3">
        <v>0.54630000000000001</v>
      </c>
      <c r="L28" s="33">
        <v>1</v>
      </c>
      <c r="M28" s="3">
        <v>0.54630000000000001</v>
      </c>
      <c r="N28" s="57">
        <v>0.54630000000000001</v>
      </c>
      <c r="O28" s="57">
        <v>0.62990000000000002</v>
      </c>
      <c r="P28" s="33">
        <v>0.62</v>
      </c>
      <c r="Q28" s="3">
        <f t="shared" ref="Q28:Q29" si="0">N28</f>
        <v>0.54630000000000001</v>
      </c>
      <c r="R28" s="3">
        <f t="shared" ref="R28:R29" si="1">N28</f>
        <v>0.54630000000000001</v>
      </c>
      <c r="S28" s="3">
        <v>6.8999999999999999E-3</v>
      </c>
      <c r="T28" s="3">
        <v>0.58030000000000004</v>
      </c>
      <c r="U28" s="3">
        <f t="shared" ref="U28:U29" si="2">T28</f>
        <v>0.58030000000000004</v>
      </c>
      <c r="V28" s="3">
        <v>2.9999999999999997E-4</v>
      </c>
      <c r="W28" s="3">
        <f t="shared" ref="W28:W29" si="3">O28</f>
        <v>0.62990000000000002</v>
      </c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9.2999999999999992E-3</v>
      </c>
      <c r="H29" s="3">
        <v>9.2999999999999992E-3</v>
      </c>
      <c r="I29" s="3">
        <v>8.8000000000000005E-3</v>
      </c>
      <c r="J29" s="33">
        <v>0.31</v>
      </c>
      <c r="K29" s="3">
        <v>0.2651</v>
      </c>
      <c r="L29" s="3"/>
      <c r="M29" s="3">
        <v>0.2651</v>
      </c>
      <c r="N29" s="57">
        <v>0.2651</v>
      </c>
      <c r="O29" s="58">
        <v>0.29920000000000002</v>
      </c>
      <c r="P29" s="33">
        <v>0.31</v>
      </c>
      <c r="Q29" s="3">
        <f t="shared" si="0"/>
        <v>0.2651</v>
      </c>
      <c r="R29" s="3">
        <f t="shared" si="1"/>
        <v>0.2651</v>
      </c>
      <c r="S29" s="3">
        <v>7.3800000000000004E-2</v>
      </c>
      <c r="T29" s="3">
        <v>0.27710000000000001</v>
      </c>
      <c r="U29" s="3">
        <f t="shared" si="2"/>
        <v>0.27710000000000001</v>
      </c>
      <c r="V29" s="33">
        <v>2.3800000000000002E-2</v>
      </c>
      <c r="W29" s="3">
        <f t="shared" si="3"/>
        <v>0.29920000000000002</v>
      </c>
      <c r="X29" s="3">
        <v>5.1000000000000004E-3</v>
      </c>
      <c r="Y29" s="3">
        <v>1.29E-2</v>
      </c>
      <c r="Z29" s="33">
        <v>2E-3</v>
      </c>
      <c r="AA29" s="33">
        <v>1</v>
      </c>
      <c r="AB29" s="33">
        <v>1</v>
      </c>
      <c r="AC29" s="3"/>
      <c r="AD29" s="3"/>
      <c r="AE29" s="3"/>
      <c r="AF29" s="3"/>
    </row>
    <row r="30" spans="2:32" x14ac:dyDescent="0.2">
      <c r="C30" s="3" t="s">
        <v>5</v>
      </c>
      <c r="D30" s="3">
        <v>0.68130000000000002</v>
      </c>
      <c r="E30" s="3"/>
      <c r="F30" s="3"/>
      <c r="G30" s="3">
        <v>0.79359999999999997</v>
      </c>
      <c r="H30" s="3">
        <v>0.79359999999999997</v>
      </c>
      <c r="I30" s="3">
        <v>0.91449999999999998</v>
      </c>
      <c r="J30" s="33"/>
      <c r="K30" s="3"/>
      <c r="L30" s="3"/>
      <c r="M30" s="3"/>
      <c r="N30" s="57"/>
      <c r="O30" s="57"/>
      <c r="P30" s="3"/>
      <c r="Q30" s="3"/>
      <c r="R30" s="3"/>
      <c r="S30" s="3">
        <v>8.9999999999999998E-4</v>
      </c>
      <c r="T30" s="3"/>
      <c r="U30" s="3"/>
      <c r="V30" s="3">
        <v>1E-4</v>
      </c>
      <c r="W30" s="3"/>
      <c r="X30" s="3">
        <v>1E-3</v>
      </c>
      <c r="Y30" s="3">
        <v>1E-4</v>
      </c>
      <c r="Z30" s="3">
        <v>4.0000000000000002E-4</v>
      </c>
      <c r="AA30" s="3"/>
      <c r="AB30" s="3"/>
      <c r="AC30" s="3"/>
      <c r="AD30" s="3"/>
      <c r="AE30" s="3"/>
      <c r="AF30" s="3"/>
    </row>
    <row r="31" spans="2:32" x14ac:dyDescent="0.2">
      <c r="C31" s="3" t="s">
        <v>6</v>
      </c>
      <c r="D31" s="3"/>
      <c r="E31" s="3"/>
      <c r="F31" s="3"/>
      <c r="G31" s="3"/>
      <c r="H31" s="3"/>
      <c r="I31" s="3"/>
      <c r="J31" s="33"/>
      <c r="K31" s="3"/>
      <c r="L31" s="3"/>
      <c r="M31" s="3"/>
      <c r="N31" s="57"/>
      <c r="O31" s="57"/>
      <c r="P31" s="3"/>
      <c r="Q31" s="3"/>
      <c r="R31" s="3"/>
      <c r="S31" s="3"/>
      <c r="T31" s="3"/>
      <c r="U31" s="3"/>
      <c r="V31" s="3"/>
      <c r="W31" s="3"/>
      <c r="X31" s="33"/>
      <c r="Y31" s="33"/>
      <c r="Z31" s="33"/>
      <c r="AA31" s="33"/>
      <c r="AB31" s="33"/>
      <c r="AC31" s="33">
        <v>1</v>
      </c>
      <c r="AD31" s="33">
        <v>1</v>
      </c>
      <c r="AE31" s="33">
        <v>1</v>
      </c>
      <c r="AF31" s="33">
        <v>1</v>
      </c>
    </row>
    <row r="32" spans="2:32" x14ac:dyDescent="0.2">
      <c r="C32" s="3" t="s">
        <v>7</v>
      </c>
      <c r="D32" s="3">
        <v>3.6600000000000001E-2</v>
      </c>
      <c r="E32" s="3"/>
      <c r="F32" s="3"/>
      <c r="G32" s="3">
        <v>4.2599999999999999E-2</v>
      </c>
      <c r="H32" s="3">
        <v>4.2599999999999999E-2</v>
      </c>
      <c r="I32" s="3">
        <v>4.9099999999999998E-2</v>
      </c>
      <c r="J32" s="33"/>
      <c r="K32" s="3"/>
      <c r="L32" s="3"/>
      <c r="M32" s="3"/>
      <c r="N32" s="57"/>
      <c r="O32" s="57"/>
      <c r="P32" s="3"/>
      <c r="Q32" s="3"/>
      <c r="R32" s="3"/>
      <c r="S32" s="3">
        <v>1E-4</v>
      </c>
      <c r="T32" s="3"/>
      <c r="U32" s="3"/>
      <c r="V32" s="3"/>
      <c r="W32" s="3"/>
      <c r="X32" s="3">
        <v>1E-4</v>
      </c>
      <c r="Y32" s="3"/>
      <c r="Z32" s="3"/>
      <c r="AA32" s="3"/>
      <c r="AB32" s="3"/>
      <c r="AC32" s="3"/>
      <c r="AD32" s="3"/>
      <c r="AE32" s="3"/>
      <c r="AF32" s="3"/>
    </row>
    <row r="33" spans="2:32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58"/>
      <c r="O33" s="58"/>
      <c r="P33" s="33"/>
      <c r="Q33" s="33"/>
      <c r="R33" s="33"/>
      <c r="S33" s="33"/>
      <c r="T33" s="33"/>
      <c r="U33" s="33"/>
      <c r="V33" s="33"/>
      <c r="W33" s="33"/>
      <c r="X33" s="3"/>
      <c r="Y33" s="3"/>
      <c r="Z33" s="3"/>
      <c r="AA33" s="3"/>
      <c r="AB33" s="3"/>
      <c r="AC33" s="3"/>
      <c r="AD33" s="3"/>
      <c r="AE33" s="3"/>
      <c r="AF33" s="3"/>
    </row>
    <row r="34" spans="2:32" x14ac:dyDescent="0.2">
      <c r="C34" s="3" t="s">
        <v>8</v>
      </c>
      <c r="D34" s="31">
        <f>116568*O22</f>
        <v>107825.40000000001</v>
      </c>
      <c r="E34" s="31">
        <f>2401.7*O22</f>
        <v>2221.5724999999998</v>
      </c>
      <c r="F34" s="31">
        <f>O22*14087.3</f>
        <v>13030.752500000001</v>
      </c>
      <c r="G34" s="31">
        <f>100079*O22</f>
        <v>92573.075000000012</v>
      </c>
      <c r="H34" s="31">
        <f>G34</f>
        <v>92573.075000000012</v>
      </c>
      <c r="I34" s="31">
        <f>86838*O22</f>
        <v>80325.150000000009</v>
      </c>
      <c r="J34" s="31">
        <f>90826.3*O22</f>
        <v>84014.327500000014</v>
      </c>
      <c r="K34" s="31">
        <f>M34</f>
        <v>95264.825000000012</v>
      </c>
      <c r="L34" s="31">
        <f>L35/L41</f>
        <v>1.080062984496124</v>
      </c>
      <c r="M34" s="31">
        <f>102989*O22</f>
        <v>95264.825000000012</v>
      </c>
      <c r="N34" s="59">
        <f>92689.9*O22</f>
        <v>85738.157500000001</v>
      </c>
      <c r="O34" s="59">
        <f>89250.1*O22</f>
        <v>82556.342500000013</v>
      </c>
      <c r="P34" s="31">
        <f>J34</f>
        <v>84014.327500000014</v>
      </c>
      <c r="Q34" s="31">
        <f>10298.9*O22</f>
        <v>9526.4825000000001</v>
      </c>
      <c r="R34" s="31">
        <f>N34</f>
        <v>85738.157500000001</v>
      </c>
      <c r="S34" s="31">
        <f>5497.87*O22</f>
        <v>5085.5297499999997</v>
      </c>
      <c r="T34" s="31">
        <f>87192*O22</f>
        <v>80652.600000000006</v>
      </c>
      <c r="U34" s="31">
        <f>T34</f>
        <v>80652.600000000006</v>
      </c>
      <c r="V34" s="31">
        <f>8241.1*O22</f>
        <v>7623.0175000000008</v>
      </c>
      <c r="W34" s="31">
        <f>O34</f>
        <v>82556.342500000013</v>
      </c>
      <c r="X34" s="31">
        <f>5064.1*O22</f>
        <v>4684.2925000000005</v>
      </c>
      <c r="Y34" s="31">
        <f>8146.2*O22</f>
        <v>7535.2350000000006</v>
      </c>
      <c r="Z34" s="31">
        <f>13104.4*O22</f>
        <v>12121.57</v>
      </c>
      <c r="AA34" s="31">
        <f>32453.7*O22/1361.3*914.4</f>
        <v>20164.540170425331</v>
      </c>
      <c r="AB34" s="31">
        <f>32453.7*O22/1361.3*446.9</f>
        <v>9855.1323295746715</v>
      </c>
      <c r="AC34" s="31">
        <f>14242*O22</f>
        <v>13173.85</v>
      </c>
      <c r="AD34" s="31">
        <f>AC34</f>
        <v>13173.85</v>
      </c>
      <c r="AE34" s="31">
        <f t="shared" ref="AE34:AF34" si="4">AD34</f>
        <v>13173.85</v>
      </c>
      <c r="AF34" s="31">
        <f t="shared" si="4"/>
        <v>13173.85</v>
      </c>
    </row>
    <row r="35" spans="2:32" x14ac:dyDescent="0.2">
      <c r="C35" s="3" t="s">
        <v>9</v>
      </c>
      <c r="D35" s="31">
        <f>3351890*O22</f>
        <v>3100498.25</v>
      </c>
      <c r="E35" s="31">
        <f>43270.2*O22</f>
        <v>40024.934999999998</v>
      </c>
      <c r="F35" s="31">
        <f>O22*253821</f>
        <v>234784.42500000002</v>
      </c>
      <c r="G35" s="31">
        <f>3054800*O22</f>
        <v>2825690</v>
      </c>
      <c r="H35" s="31">
        <f>G35</f>
        <v>2825690</v>
      </c>
      <c r="I35" s="31">
        <f>2476640*O22</f>
        <v>2290892</v>
      </c>
      <c r="J35" s="31">
        <f>12970600*O22</f>
        <v>11997805</v>
      </c>
      <c r="K35" s="31">
        <f>M35</f>
        <v>12505722.5</v>
      </c>
      <c r="L35" s="31">
        <f>241*O22</f>
        <v>222.92500000000001</v>
      </c>
      <c r="M35" s="31">
        <f>13519700*O22</f>
        <v>12505722.5</v>
      </c>
      <c r="N35" s="59">
        <f>12167700*O22</f>
        <v>11255122.5</v>
      </c>
      <c r="O35" s="59">
        <f>12923800*O22</f>
        <v>11954515</v>
      </c>
      <c r="P35" s="31">
        <f>J35</f>
        <v>11997805</v>
      </c>
      <c r="Q35" s="31">
        <f>1351970*O22</f>
        <v>1250572.25</v>
      </c>
      <c r="R35" s="31">
        <f>N35</f>
        <v>11255122.5</v>
      </c>
      <c r="S35" s="31">
        <f>237879*O22</f>
        <v>220038.07500000001</v>
      </c>
      <c r="T35" s="31">
        <f>11929800*O22</f>
        <v>11035065</v>
      </c>
      <c r="U35" s="31">
        <f>T35</f>
        <v>11035065</v>
      </c>
      <c r="V35" s="31">
        <f>358015*O22</f>
        <v>331163.875</v>
      </c>
      <c r="W35" s="31">
        <f>O35</f>
        <v>11954515</v>
      </c>
      <c r="X35" s="31">
        <f>222126*O22</f>
        <v>205466.55000000002</v>
      </c>
      <c r="Y35" s="31">
        <f>355797*O22</f>
        <v>329112.22500000003</v>
      </c>
      <c r="Z35" s="31">
        <f>575955*O22</f>
        <v>532758.375</v>
      </c>
      <c r="AA35" s="31">
        <f>584663*O22/1361.3*914.4</f>
        <v>363270.15254536102</v>
      </c>
      <c r="AB35" s="31">
        <f>584663*O22/1361.3*446.9</f>
        <v>177543.12245463894</v>
      </c>
      <c r="AC35" s="31">
        <f>242550*O22</f>
        <v>224358.75</v>
      </c>
      <c r="AD35" s="31">
        <f>AC35</f>
        <v>224358.75</v>
      </c>
      <c r="AE35" s="31">
        <f t="shared" ref="AE35:AF35" si="5">AD35</f>
        <v>224358.75</v>
      </c>
      <c r="AF35" s="31">
        <f t="shared" si="5"/>
        <v>224358.75</v>
      </c>
    </row>
    <row r="36" spans="2:32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57"/>
      <c r="O36" s="57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x14ac:dyDescent="0.2">
      <c r="C37" s="3" t="s">
        <v>10</v>
      </c>
      <c r="D37" s="3">
        <v>56.2</v>
      </c>
      <c r="E37" s="3">
        <v>6</v>
      </c>
      <c r="F37" s="3">
        <v>25.6</v>
      </c>
      <c r="G37" s="3">
        <v>6</v>
      </c>
      <c r="H37" s="3">
        <v>14.2</v>
      </c>
      <c r="I37" s="3">
        <v>6.1</v>
      </c>
      <c r="J37" s="3">
        <v>23.9</v>
      </c>
      <c r="K37" s="3">
        <v>36.1</v>
      </c>
      <c r="L37" s="3">
        <v>23.9</v>
      </c>
      <c r="M37" s="3">
        <v>36.200000000000003</v>
      </c>
      <c r="N37" s="57">
        <v>73.5</v>
      </c>
      <c r="O37" s="57">
        <v>86.5</v>
      </c>
      <c r="P37" s="3">
        <v>40</v>
      </c>
      <c r="Q37" s="3">
        <v>36.200000000000003</v>
      </c>
      <c r="R37" s="3">
        <v>90.9</v>
      </c>
      <c r="S37" s="3">
        <f>R37</f>
        <v>90.9</v>
      </c>
      <c r="T37" s="3">
        <v>90.9</v>
      </c>
      <c r="U37" s="3">
        <v>90.9</v>
      </c>
      <c r="V37" s="3">
        <v>51</v>
      </c>
      <c r="W37" s="3">
        <v>86.4</v>
      </c>
      <c r="X37" s="3">
        <v>25.6</v>
      </c>
      <c r="Y37" s="3">
        <v>25.6</v>
      </c>
      <c r="Z37" s="3">
        <v>44.1</v>
      </c>
      <c r="AA37" s="3">
        <v>128.4</v>
      </c>
      <c r="AB37" s="3">
        <f>AA37</f>
        <v>128.4</v>
      </c>
      <c r="AC37" s="3">
        <v>3</v>
      </c>
      <c r="AD37" s="3">
        <v>60</v>
      </c>
      <c r="AE37" s="3">
        <v>26</v>
      </c>
      <c r="AF37" s="3">
        <v>2.5</v>
      </c>
    </row>
    <row r="38" spans="2:32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1.02</v>
      </c>
      <c r="J38" s="3">
        <v>1.38</v>
      </c>
      <c r="K38" s="3">
        <v>1.1000000000000001</v>
      </c>
      <c r="L38" s="3">
        <v>1.5</v>
      </c>
      <c r="M38" s="3">
        <v>6.5</v>
      </c>
      <c r="N38" s="57">
        <v>6</v>
      </c>
      <c r="O38" s="57">
        <v>6</v>
      </c>
      <c r="P38" s="3">
        <v>1.38</v>
      </c>
      <c r="Q38" s="3">
        <v>6.5</v>
      </c>
      <c r="R38" s="3">
        <v>5.2</v>
      </c>
      <c r="S38" s="3">
        <f>R38</f>
        <v>5.2</v>
      </c>
      <c r="T38" s="3">
        <v>5.2</v>
      </c>
      <c r="U38" s="3">
        <v>2.2999999999999998</v>
      </c>
      <c r="V38" s="3">
        <v>2.2999999999999998</v>
      </c>
      <c r="W38" s="3">
        <v>2.2999999999999998</v>
      </c>
      <c r="X38" s="3">
        <v>5.2</v>
      </c>
      <c r="Y38" s="3">
        <v>2.2999999999999998</v>
      </c>
      <c r="Z38" s="3">
        <v>152.69999999999999</v>
      </c>
      <c r="AA38" s="3">
        <v>1.1000000000000001</v>
      </c>
      <c r="AB38" s="3">
        <f t="shared" ref="AB38:AB41" si="6">AA38</f>
        <v>1.1000000000000001</v>
      </c>
      <c r="AC38" s="3">
        <v>4.7</v>
      </c>
      <c r="AD38" s="3">
        <v>10.5</v>
      </c>
      <c r="AE38" s="3">
        <v>10.5</v>
      </c>
      <c r="AF38" s="3">
        <v>4.7</v>
      </c>
    </row>
    <row r="39" spans="2:32" x14ac:dyDescent="0.2">
      <c r="C39" s="3" t="s">
        <v>12</v>
      </c>
      <c r="D39" s="34">
        <v>-2959</v>
      </c>
      <c r="E39" s="34">
        <v>-15952</v>
      </c>
      <c r="F39" s="34">
        <v>-15872</v>
      </c>
      <c r="G39" s="34">
        <v>-1965</v>
      </c>
      <c r="H39" s="34">
        <v>-1957</v>
      </c>
      <c r="I39" s="34">
        <v>-326</v>
      </c>
      <c r="J39" s="34">
        <v>-3063.4</v>
      </c>
      <c r="K39" s="34">
        <v>-3359.7</v>
      </c>
      <c r="L39" s="34">
        <v>-2342.8000000000002</v>
      </c>
      <c r="M39" s="34">
        <v>-3359</v>
      </c>
      <c r="N39" s="60">
        <v>-3226.2</v>
      </c>
      <c r="O39" s="60">
        <v>-2873</v>
      </c>
      <c r="P39" s="34">
        <v>-3024</v>
      </c>
      <c r="Q39" s="34">
        <v>-3359</v>
      </c>
      <c r="R39" s="34">
        <v>-3151</v>
      </c>
      <c r="S39" s="34">
        <v>-8779</v>
      </c>
      <c r="T39" s="34">
        <v>-3038.8</v>
      </c>
      <c r="U39" s="34">
        <v>-3001</v>
      </c>
      <c r="V39" s="34">
        <v>-8959</v>
      </c>
      <c r="W39" s="34">
        <v>-2874</v>
      </c>
      <c r="X39" s="34">
        <v>-8953.1</v>
      </c>
      <c r="Y39" s="34">
        <v>-8971</v>
      </c>
      <c r="Z39" s="34">
        <v>-9156</v>
      </c>
      <c r="AA39" s="34">
        <v>-13248</v>
      </c>
      <c r="AB39" s="3">
        <f t="shared" si="6"/>
        <v>-13248</v>
      </c>
      <c r="AC39" s="34">
        <v>-2771.5</v>
      </c>
      <c r="AD39" s="34">
        <v>-2656</v>
      </c>
      <c r="AE39" s="34">
        <v>-3915</v>
      </c>
      <c r="AF39" s="34">
        <v>-3915</v>
      </c>
    </row>
    <row r="40" spans="2:32" x14ac:dyDescent="0.2">
      <c r="C40" s="3" t="s">
        <v>13</v>
      </c>
      <c r="D40" s="3">
        <v>1.1100000000000001</v>
      </c>
      <c r="E40" s="3">
        <v>999.8</v>
      </c>
      <c r="F40" s="3">
        <v>996.8</v>
      </c>
      <c r="G40" s="3">
        <v>1.34</v>
      </c>
      <c r="H40" s="3">
        <v>1.41</v>
      </c>
      <c r="I40" s="3">
        <v>1.25</v>
      </c>
      <c r="J40" s="3">
        <v>885.3</v>
      </c>
      <c r="K40" s="3">
        <v>959.9</v>
      </c>
      <c r="L40" s="3">
        <v>852.9</v>
      </c>
      <c r="M40" s="3">
        <v>959.8</v>
      </c>
      <c r="N40" s="57">
        <v>891.1</v>
      </c>
      <c r="O40" s="57">
        <v>835.3</v>
      </c>
      <c r="P40" s="3">
        <v>882.2</v>
      </c>
      <c r="Q40" s="3">
        <f>M40</f>
        <v>959.8</v>
      </c>
      <c r="R40" s="3">
        <v>267.89999999999998</v>
      </c>
      <c r="S40" s="3">
        <v>7.58</v>
      </c>
      <c r="T40" s="3">
        <v>850.7</v>
      </c>
      <c r="U40" s="3">
        <v>83.1</v>
      </c>
      <c r="V40" s="3">
        <v>3.77</v>
      </c>
      <c r="W40" s="3">
        <v>835.4</v>
      </c>
      <c r="X40" s="3">
        <v>9.4499999999999993</v>
      </c>
      <c r="Y40" s="3">
        <v>4.12</v>
      </c>
      <c r="Z40" s="3">
        <v>489.4</v>
      </c>
      <c r="AA40" s="3">
        <v>0.6</v>
      </c>
      <c r="AB40" s="3">
        <f t="shared" si="6"/>
        <v>0.6</v>
      </c>
      <c r="AC40" s="3">
        <v>3.75</v>
      </c>
      <c r="AD40" s="3">
        <v>6.97</v>
      </c>
      <c r="AE40" s="3">
        <v>601.6</v>
      </c>
      <c r="AF40" s="3">
        <v>40.200000000000003</v>
      </c>
    </row>
    <row r="41" spans="2:32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30.52</v>
      </c>
      <c r="H41" s="3">
        <v>30.52</v>
      </c>
      <c r="I41" s="3">
        <v>28.52</v>
      </c>
      <c r="J41" s="3">
        <v>142.80000000000001</v>
      </c>
      <c r="K41" s="3">
        <v>131.30000000000001</v>
      </c>
      <c r="L41" s="3">
        <v>206.4</v>
      </c>
      <c r="M41" s="3">
        <v>131.30000000000001</v>
      </c>
      <c r="N41" s="57">
        <v>131.30000000000001</v>
      </c>
      <c r="O41" s="57">
        <v>144.80000000000001</v>
      </c>
      <c r="P41" s="3">
        <v>142.80000000000001</v>
      </c>
      <c r="Q41" s="3">
        <f>M41</f>
        <v>131.30000000000001</v>
      </c>
      <c r="R41" s="3">
        <f>N41</f>
        <v>131.30000000000001</v>
      </c>
      <c r="S41" s="3">
        <v>43.3</v>
      </c>
      <c r="T41" s="3">
        <v>136.80000000000001</v>
      </c>
      <c r="U41" s="3">
        <f>T41</f>
        <v>136.80000000000001</v>
      </c>
      <c r="V41" s="3">
        <v>43.4</v>
      </c>
      <c r="W41" s="3">
        <v>144.80000000000001</v>
      </c>
      <c r="X41" s="3">
        <v>43.9</v>
      </c>
      <c r="Y41" s="3">
        <v>43.7</v>
      </c>
      <c r="Z41" s="3">
        <v>44</v>
      </c>
      <c r="AA41" s="3">
        <v>18</v>
      </c>
      <c r="AB41" s="3">
        <f t="shared" si="6"/>
        <v>18</v>
      </c>
      <c r="AC41" s="3">
        <v>17.03</v>
      </c>
      <c r="AD41" s="3">
        <v>17.03</v>
      </c>
      <c r="AE41" s="3">
        <v>17.03</v>
      </c>
      <c r="AF41" s="3">
        <v>17.03</v>
      </c>
    </row>
    <row r="43" spans="2:32" x14ac:dyDescent="0.2">
      <c r="B43" s="1" t="s">
        <v>132</v>
      </c>
      <c r="D43" t="s">
        <v>199</v>
      </c>
    </row>
    <row r="45" spans="2:32" x14ac:dyDescent="0.2">
      <c r="C45" s="53" t="s">
        <v>138</v>
      </c>
      <c r="D45" s="18"/>
      <c r="E45" s="42"/>
    </row>
    <row r="46" spans="2:32" x14ac:dyDescent="0.2">
      <c r="C46" s="37" t="s">
        <v>133</v>
      </c>
      <c r="D46" s="7">
        <f>9331.2*O22</f>
        <v>8631.36</v>
      </c>
      <c r="E46" s="36" t="s">
        <v>139</v>
      </c>
    </row>
    <row r="47" spans="2:32" x14ac:dyDescent="0.2">
      <c r="C47" s="37" t="s">
        <v>134</v>
      </c>
      <c r="D47" s="7">
        <f>1841.7*O22</f>
        <v>1703.5725000000002</v>
      </c>
      <c r="E47" s="36" t="s">
        <v>139</v>
      </c>
    </row>
    <row r="48" spans="2:32" x14ac:dyDescent="0.2">
      <c r="C48" s="37" t="s">
        <v>135</v>
      </c>
      <c r="D48" s="7">
        <f>2460.7*O22</f>
        <v>2276.1475</v>
      </c>
      <c r="E48" s="36" t="s">
        <v>139</v>
      </c>
    </row>
    <row r="49" spans="2:8" x14ac:dyDescent="0.2">
      <c r="C49" s="37" t="s">
        <v>136</v>
      </c>
      <c r="D49" s="7">
        <f>406.3*O22</f>
        <v>375.82750000000004</v>
      </c>
      <c r="E49" s="36" t="s">
        <v>139</v>
      </c>
    </row>
    <row r="50" spans="2:8" x14ac:dyDescent="0.2">
      <c r="C50" s="37" t="s">
        <v>137</v>
      </c>
      <c r="D50" s="7">
        <f>D64</f>
        <v>6350.5506663284705</v>
      </c>
      <c r="E50" s="36" t="s">
        <v>139</v>
      </c>
    </row>
    <row r="51" spans="2:8" x14ac:dyDescent="0.2">
      <c r="C51" s="39" t="s">
        <v>141</v>
      </c>
      <c r="D51" s="52">
        <v>34196</v>
      </c>
      <c r="E51" s="40" t="s">
        <v>139</v>
      </c>
    </row>
    <row r="53" spans="2:8" x14ac:dyDescent="0.2">
      <c r="C53" s="53" t="s">
        <v>140</v>
      </c>
      <c r="D53" s="18"/>
      <c r="E53" s="42"/>
    </row>
    <row r="54" spans="2:8" x14ac:dyDescent="0.2">
      <c r="C54" s="37" t="s">
        <v>144</v>
      </c>
      <c r="D54" s="35">
        <f>(305.4+5.6)*O22</f>
        <v>287.67500000000001</v>
      </c>
      <c r="E54" s="36" t="s">
        <v>142</v>
      </c>
    </row>
    <row r="55" spans="2:8" x14ac:dyDescent="0.2">
      <c r="C55" s="37" t="s">
        <v>143</v>
      </c>
      <c r="D55" s="35">
        <f>D67+D68</f>
        <v>460.97542278403296</v>
      </c>
      <c r="E55" s="36" t="s">
        <v>142</v>
      </c>
    </row>
    <row r="56" spans="2:8" x14ac:dyDescent="0.2">
      <c r="C56" s="37" t="s">
        <v>145</v>
      </c>
      <c r="D56" s="35">
        <f>D70</f>
        <v>1495.5906419824432</v>
      </c>
      <c r="E56" s="36" t="s">
        <v>142</v>
      </c>
    </row>
    <row r="57" spans="2:8" x14ac:dyDescent="0.2">
      <c r="C57" s="37" t="s">
        <v>190</v>
      </c>
      <c r="D57" s="35">
        <f>D73</f>
        <v>44.8</v>
      </c>
      <c r="E57" s="36" t="s">
        <v>142</v>
      </c>
    </row>
    <row r="58" spans="2:8" x14ac:dyDescent="0.2">
      <c r="C58" s="39" t="s">
        <v>147</v>
      </c>
      <c r="D58" s="54">
        <f>D66</f>
        <v>675.06086704998904</v>
      </c>
      <c r="E58" s="40" t="s">
        <v>142</v>
      </c>
    </row>
    <row r="60" spans="2:8" x14ac:dyDescent="0.2">
      <c r="B60" s="1" t="s">
        <v>150</v>
      </c>
    </row>
    <row r="62" spans="2:8" x14ac:dyDescent="0.2">
      <c r="B62" s="43" t="s">
        <v>189</v>
      </c>
      <c r="C62" s="44"/>
      <c r="D62" s="43" t="s">
        <v>148</v>
      </c>
      <c r="E62" s="44"/>
      <c r="F62" s="43" t="s">
        <v>154</v>
      </c>
      <c r="G62" s="43" t="s">
        <v>169</v>
      </c>
      <c r="H62" s="45"/>
    </row>
    <row r="63" spans="2:8" x14ac:dyDescent="0.2">
      <c r="B63" s="37" t="s">
        <v>149</v>
      </c>
      <c r="C63" s="36"/>
      <c r="F63" s="37"/>
      <c r="G63" s="37"/>
      <c r="H63" s="36"/>
    </row>
    <row r="64" spans="2:8" x14ac:dyDescent="0.2">
      <c r="B64" s="37"/>
      <c r="C64" s="36" t="s">
        <v>137</v>
      </c>
      <c r="D64" s="56">
        <v>6350.5506663284705</v>
      </c>
      <c r="E64" t="s">
        <v>139</v>
      </c>
      <c r="F64" s="37"/>
      <c r="G64" s="46">
        <v>9438181.2855352703</v>
      </c>
      <c r="H64" s="36"/>
    </row>
    <row r="65" spans="2:8" x14ac:dyDescent="0.2">
      <c r="B65" s="37" t="s">
        <v>156</v>
      </c>
      <c r="C65" s="36"/>
      <c r="D65" s="48"/>
      <c r="F65" s="37"/>
      <c r="G65" s="37"/>
      <c r="H65" s="36"/>
    </row>
    <row r="66" spans="2:8" x14ac:dyDescent="0.2">
      <c r="B66" s="37"/>
      <c r="C66" s="36" t="s">
        <v>147</v>
      </c>
      <c r="D66" s="48">
        <v>675.06086704998904</v>
      </c>
      <c r="E66" t="s">
        <v>142</v>
      </c>
      <c r="F66" s="37"/>
      <c r="G66" s="46">
        <v>9324322.1361831259</v>
      </c>
      <c r="H66" s="36"/>
    </row>
    <row r="67" spans="2:8" x14ac:dyDescent="0.2">
      <c r="B67" s="37"/>
      <c r="C67" s="36" t="s">
        <v>170</v>
      </c>
      <c r="D67" s="48">
        <v>155.78683614512084</v>
      </c>
      <c r="E67" t="s">
        <v>142</v>
      </c>
      <c r="F67" s="37"/>
      <c r="G67" s="46">
        <v>397473.65545123868</v>
      </c>
      <c r="H67" s="36"/>
    </row>
    <row r="68" spans="2:8" x14ac:dyDescent="0.2">
      <c r="B68" s="37"/>
      <c r="C68" s="36" t="s">
        <v>157</v>
      </c>
      <c r="D68" s="48">
        <v>305.18858663891211</v>
      </c>
      <c r="E68" t="s">
        <v>142</v>
      </c>
      <c r="F68" s="37"/>
      <c r="G68" s="46">
        <v>1813870.8987220239</v>
      </c>
      <c r="H68" s="36"/>
    </row>
    <row r="69" spans="2:8" x14ac:dyDescent="0.2">
      <c r="B69" s="37"/>
      <c r="C69" s="36" t="s">
        <v>158</v>
      </c>
      <c r="D69" s="48">
        <v>314.16472154005658</v>
      </c>
      <c r="E69" t="s">
        <v>142</v>
      </c>
      <c r="F69" s="37"/>
      <c r="G69" s="46">
        <v>1819760.6274401832</v>
      </c>
      <c r="H69" s="36"/>
    </row>
    <row r="70" spans="2:8" x14ac:dyDescent="0.2">
      <c r="B70" s="37"/>
      <c r="C70" s="36" t="s">
        <v>159</v>
      </c>
      <c r="D70" s="48">
        <v>1495.5906419824432</v>
      </c>
      <c r="E70" t="s">
        <v>142</v>
      </c>
      <c r="F70" s="37"/>
      <c r="G70" s="46">
        <v>12237792.754053259</v>
      </c>
      <c r="H70" s="36"/>
    </row>
    <row r="71" spans="2:8" x14ac:dyDescent="0.2">
      <c r="B71" s="37"/>
      <c r="C71" s="36" t="s">
        <v>171</v>
      </c>
      <c r="D71" s="48">
        <v>468.20259944155237</v>
      </c>
      <c r="E71" t="s">
        <v>142</v>
      </c>
      <c r="F71" s="37"/>
      <c r="G71" s="46">
        <v>3716296.1787997056</v>
      </c>
      <c r="H71" s="36"/>
    </row>
    <row r="72" spans="2:8" x14ac:dyDescent="0.2">
      <c r="B72" s="37"/>
      <c r="C72" s="36" t="s">
        <v>191</v>
      </c>
      <c r="D72" s="48">
        <f>846.2+413.5</f>
        <v>1259.7</v>
      </c>
      <c r="E72" t="s">
        <v>142</v>
      </c>
      <c r="F72" s="37"/>
      <c r="G72" s="46">
        <v>9117675.0297017097</v>
      </c>
      <c r="H72" s="36"/>
    </row>
    <row r="73" spans="2:8" x14ac:dyDescent="0.2">
      <c r="B73" s="37"/>
      <c r="C73" s="36" t="s">
        <v>192</v>
      </c>
      <c r="D73" s="48">
        <f>33.4+11.4</f>
        <v>44.8</v>
      </c>
      <c r="E73" t="s">
        <v>142</v>
      </c>
      <c r="F73" s="37"/>
      <c r="G73" s="46">
        <f>99679+53031</f>
        <v>152710</v>
      </c>
      <c r="H73" s="36"/>
    </row>
    <row r="74" spans="2:8" x14ac:dyDescent="0.2">
      <c r="B74" s="37"/>
      <c r="C74" s="36" t="s">
        <v>161</v>
      </c>
      <c r="D74" s="48">
        <v>100.95838326957342</v>
      </c>
      <c r="E74" t="s">
        <v>142</v>
      </c>
      <c r="F74" s="37"/>
      <c r="G74" s="46">
        <v>203083</v>
      </c>
      <c r="H74" s="36"/>
    </row>
    <row r="75" spans="2:8" x14ac:dyDescent="0.2">
      <c r="B75" s="37" t="s">
        <v>183</v>
      </c>
      <c r="C75" s="36"/>
      <c r="F75" s="37"/>
      <c r="G75" s="37"/>
      <c r="H75" s="36"/>
    </row>
    <row r="76" spans="2:8" x14ac:dyDescent="0.2">
      <c r="B76" s="37"/>
      <c r="C76" s="36" t="s">
        <v>184</v>
      </c>
      <c r="D76" s="48">
        <f>19.6*O22^0.5</f>
        <v>18.850676380437921</v>
      </c>
      <c r="E76" t="s">
        <v>176</v>
      </c>
      <c r="F76" s="37"/>
      <c r="G76" s="46">
        <v>16751288.187472565</v>
      </c>
      <c r="H76" s="36"/>
    </row>
    <row r="77" spans="2:8" x14ac:dyDescent="0.2">
      <c r="B77" s="37"/>
      <c r="C77" s="36"/>
      <c r="D77" s="35">
        <v>16</v>
      </c>
      <c r="E77" t="s">
        <v>175</v>
      </c>
      <c r="F77" s="37"/>
      <c r="G77" s="46"/>
      <c r="H77" s="36"/>
    </row>
    <row r="78" spans="2:8" x14ac:dyDescent="0.2">
      <c r="B78" s="37"/>
      <c r="C78" s="36" t="s">
        <v>185</v>
      </c>
      <c r="D78" s="35">
        <f>23*O22^0.5</f>
        <v>22.120691670922046</v>
      </c>
      <c r="E78" t="s">
        <v>176</v>
      </c>
      <c r="F78" s="37"/>
      <c r="G78" s="46">
        <v>24160923.135865148</v>
      </c>
      <c r="H78" s="36"/>
    </row>
    <row r="79" spans="2:8" x14ac:dyDescent="0.2">
      <c r="B79" s="37"/>
      <c r="C79" s="36"/>
      <c r="D79" s="35">
        <v>19.8</v>
      </c>
      <c r="E79" t="s">
        <v>175</v>
      </c>
      <c r="F79" s="37"/>
      <c r="G79" s="46"/>
      <c r="H79" s="36"/>
    </row>
    <row r="80" spans="2:8" x14ac:dyDescent="0.2">
      <c r="B80" s="37"/>
      <c r="C80" s="36" t="s">
        <v>196</v>
      </c>
      <c r="D80" s="35">
        <f>4.9*O22^2</f>
        <v>4.1925625000000011</v>
      </c>
      <c r="E80" t="s">
        <v>176</v>
      </c>
      <c r="F80" s="37"/>
      <c r="G80" s="46">
        <f>1940299+2612414</f>
        <v>4552713</v>
      </c>
      <c r="H80" s="36"/>
    </row>
    <row r="81" spans="2:8" x14ac:dyDescent="0.2">
      <c r="B81" s="37"/>
      <c r="C81" s="36"/>
      <c r="D81" s="35">
        <v>1.5</v>
      </c>
      <c r="E81" t="s">
        <v>175</v>
      </c>
      <c r="F81" s="37"/>
      <c r="G81" s="46"/>
      <c r="H81" s="36"/>
    </row>
    <row r="82" spans="2:8" x14ac:dyDescent="0.2">
      <c r="B82" s="37"/>
      <c r="C82" s="36" t="s">
        <v>162</v>
      </c>
      <c r="F82" s="37"/>
      <c r="G82" s="46">
        <v>383149.7251271499</v>
      </c>
      <c r="H82" s="36"/>
    </row>
    <row r="83" spans="2:8" x14ac:dyDescent="0.2">
      <c r="B83" s="37"/>
      <c r="C83" s="36" t="s">
        <v>193</v>
      </c>
      <c r="F83" s="37"/>
      <c r="G83" s="46">
        <f>41672+61983</f>
        <v>103655</v>
      </c>
      <c r="H83" s="36"/>
    </row>
    <row r="84" spans="2:8" x14ac:dyDescent="0.2">
      <c r="B84" s="37" t="s">
        <v>163</v>
      </c>
      <c r="C84" s="36"/>
      <c r="F84" s="37"/>
      <c r="G84" s="37"/>
      <c r="H84" s="36"/>
    </row>
    <row r="85" spans="2:8" x14ac:dyDescent="0.2">
      <c r="B85" s="37"/>
      <c r="C85" s="36" t="s">
        <v>164</v>
      </c>
      <c r="D85">
        <v>879</v>
      </c>
      <c r="E85" t="s">
        <v>139</v>
      </c>
      <c r="F85" s="37">
        <v>1</v>
      </c>
      <c r="G85" s="46">
        <v>2342263.6791485501</v>
      </c>
      <c r="H85" s="36"/>
    </row>
    <row r="86" spans="2:8" x14ac:dyDescent="0.2">
      <c r="B86" s="37"/>
      <c r="C86" s="36" t="s">
        <v>165</v>
      </c>
      <c r="D86">
        <v>221</v>
      </c>
      <c r="E86" t="s">
        <v>139</v>
      </c>
      <c r="F86" s="37">
        <v>1</v>
      </c>
      <c r="G86" s="46">
        <v>230698.95222897152</v>
      </c>
      <c r="H86" s="36"/>
    </row>
    <row r="87" spans="2:8" x14ac:dyDescent="0.2">
      <c r="B87" s="37"/>
      <c r="C87" s="36" t="s">
        <v>136</v>
      </c>
      <c r="D87" s="7">
        <v>376.00011188688916</v>
      </c>
      <c r="E87" t="s">
        <v>139</v>
      </c>
      <c r="F87" s="37">
        <v>1</v>
      </c>
      <c r="G87" s="46">
        <v>416318.73697877035</v>
      </c>
      <c r="H87" s="36"/>
    </row>
    <row r="88" spans="2:8" x14ac:dyDescent="0.2">
      <c r="B88" s="37"/>
      <c r="C88" s="36" t="s">
        <v>135</v>
      </c>
      <c r="D88" s="8">
        <v>2277.0418419792964</v>
      </c>
      <c r="E88" t="s">
        <v>139</v>
      </c>
      <c r="F88" s="37">
        <v>1</v>
      </c>
      <c r="G88" s="46">
        <v>4292578.7760566799</v>
      </c>
      <c r="H88" s="36"/>
    </row>
    <row r="89" spans="2:8" x14ac:dyDescent="0.2">
      <c r="B89" s="37"/>
      <c r="C89" s="36" t="s">
        <v>134</v>
      </c>
      <c r="D89" s="8">
        <v>1704.2811515603919</v>
      </c>
      <c r="E89" t="s">
        <v>139</v>
      </c>
      <c r="F89" s="37">
        <v>1</v>
      </c>
      <c r="G89" s="46">
        <v>4941897.2374424413</v>
      </c>
      <c r="H89" s="36"/>
    </row>
    <row r="90" spans="2:8" x14ac:dyDescent="0.2">
      <c r="B90" s="37" t="s">
        <v>168</v>
      </c>
      <c r="C90" s="36"/>
      <c r="F90" s="37"/>
      <c r="G90" s="37"/>
      <c r="H90" s="36"/>
    </row>
    <row r="91" spans="2:8" x14ac:dyDescent="0.2">
      <c r="B91" s="37"/>
      <c r="C91" s="36" t="s">
        <v>181</v>
      </c>
      <c r="F91" s="37"/>
      <c r="G91" s="46">
        <v>2133474.5900374092</v>
      </c>
      <c r="H91" s="36"/>
    </row>
    <row r="92" spans="2:8" x14ac:dyDescent="0.2">
      <c r="B92" s="37"/>
      <c r="C92" s="36" t="s">
        <v>167</v>
      </c>
      <c r="D92" s="8">
        <f>21913*O22</f>
        <v>20269.525000000001</v>
      </c>
      <c r="E92" t="s">
        <v>182</v>
      </c>
      <c r="F92" s="37"/>
      <c r="G92" s="46">
        <v>17837603.655615184</v>
      </c>
      <c r="H92" s="36"/>
    </row>
    <row r="93" spans="2:8" x14ac:dyDescent="0.2">
      <c r="B93" s="37"/>
      <c r="C93" s="36" t="s">
        <v>194</v>
      </c>
      <c r="F93" s="37"/>
      <c r="G93" s="46">
        <v>3158927.4521511476</v>
      </c>
      <c r="H93" s="36"/>
    </row>
    <row r="94" spans="2:8" x14ac:dyDescent="0.2">
      <c r="B94" s="39"/>
      <c r="C94" s="41" t="s">
        <v>195</v>
      </c>
      <c r="D94" s="39"/>
      <c r="E94" s="41"/>
      <c r="F94" s="39"/>
      <c r="G94" s="47">
        <v>10910101</v>
      </c>
      <c r="H94" s="40"/>
    </row>
    <row r="95" spans="2:8" x14ac:dyDescent="0.2">
      <c r="B95" s="37" t="s">
        <v>155</v>
      </c>
      <c r="G95" s="50">
        <f>SUM(G64:G94)</f>
        <v>140436758.69401053</v>
      </c>
      <c r="H95" s="36"/>
    </row>
    <row r="96" spans="2:8" x14ac:dyDescent="0.2">
      <c r="B96" s="37" t="s">
        <v>187</v>
      </c>
      <c r="G96" s="46">
        <f>G95/581.8*615.9</f>
        <v>148667926.57208851</v>
      </c>
      <c r="H96" s="36"/>
    </row>
    <row r="97" spans="2:8" x14ac:dyDescent="0.2">
      <c r="B97" s="39" t="s">
        <v>188</v>
      </c>
      <c r="C97" s="41"/>
      <c r="D97" s="41"/>
      <c r="E97" s="41"/>
      <c r="F97" s="41"/>
      <c r="G97" s="47">
        <v>583170073</v>
      </c>
      <c r="H97" s="40"/>
    </row>
    <row r="99" spans="2:8" x14ac:dyDescent="0.2">
      <c r="B99" s="43" t="s">
        <v>80</v>
      </c>
      <c r="C99" s="44"/>
      <c r="D99" s="43" t="s">
        <v>148</v>
      </c>
      <c r="E99" s="44"/>
      <c r="F99" s="44"/>
      <c r="G99" s="43" t="s">
        <v>188</v>
      </c>
      <c r="H99" s="45"/>
    </row>
    <row r="100" spans="2:8" x14ac:dyDescent="0.2">
      <c r="B100" s="38"/>
      <c r="C100" s="18"/>
      <c r="D100" s="51">
        <f>D51</f>
        <v>34196</v>
      </c>
      <c r="E100" s="18" t="s">
        <v>139</v>
      </c>
      <c r="F100" s="18"/>
      <c r="G100" s="49">
        <v>70202893</v>
      </c>
      <c r="H100" s="42"/>
    </row>
    <row r="102" spans="2:8" x14ac:dyDescent="0.2">
      <c r="B102">
        <v>1</v>
      </c>
      <c r="C102" t="s">
        <v>152</v>
      </c>
    </row>
    <row r="103" spans="2:8" x14ac:dyDescent="0.2">
      <c r="B103">
        <v>2</v>
      </c>
      <c r="C103" t="s">
        <v>151</v>
      </c>
    </row>
    <row r="104" spans="2:8" x14ac:dyDescent="0.2">
      <c r="B104">
        <v>3</v>
      </c>
      <c r="C104" t="s">
        <v>153</v>
      </c>
    </row>
    <row r="105" spans="2:8" x14ac:dyDescent="0.2">
      <c r="B105" s="15" t="s">
        <v>173</v>
      </c>
      <c r="C105" t="s">
        <v>180</v>
      </c>
    </row>
    <row r="106" spans="2:8" x14ac:dyDescent="0.2">
      <c r="B106" s="15" t="s">
        <v>179</v>
      </c>
      <c r="C106" t="s">
        <v>198</v>
      </c>
    </row>
    <row r="107" spans="2:8" x14ac:dyDescent="0.2">
      <c r="B107" s="15" t="s">
        <v>197</v>
      </c>
      <c r="C107" t="s">
        <v>174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68E8-D9B0-49AE-9F45-B195177D7879}">
  <dimension ref="B2:AA108"/>
  <sheetViews>
    <sheetView zoomScale="190" zoomScaleNormal="190" workbookViewId="0">
      <pane xSplit="3" topLeftCell="D1" activePane="topRight" state="frozen"/>
      <selection pane="topRight" activeCell="B2" sqref="B2"/>
    </sheetView>
  </sheetViews>
  <sheetFormatPr baseColWidth="10" defaultColWidth="8.83203125" defaultRowHeight="15" x14ac:dyDescent="0.2"/>
  <cols>
    <col min="2" max="2" width="3.1640625" customWidth="1"/>
    <col min="3" max="3" width="30" customWidth="1"/>
    <col min="4" max="6" width="11.6640625" customWidth="1"/>
    <col min="7" max="7" width="13.1640625" customWidth="1"/>
    <col min="8" max="8" width="12.6640625" customWidth="1"/>
    <col min="9" max="9" width="12.33203125" customWidth="1"/>
    <col min="10" max="10" width="13.1640625" customWidth="1"/>
    <col min="11" max="27" width="11.6640625" customWidth="1"/>
  </cols>
  <sheetData>
    <row r="2" spans="2:2" x14ac:dyDescent="0.2">
      <c r="B2" s="1" t="s">
        <v>285</v>
      </c>
    </row>
    <row r="22" spans="2:27" x14ac:dyDescent="0.2">
      <c r="B22" s="1" t="s">
        <v>0</v>
      </c>
      <c r="D22" t="s">
        <v>16</v>
      </c>
    </row>
    <row r="23" spans="2:27" x14ac:dyDescent="0.2">
      <c r="D23" t="s">
        <v>17</v>
      </c>
      <c r="F23">
        <v>0.93600000000000005</v>
      </c>
    </row>
    <row r="24" spans="2:27" x14ac:dyDescent="0.2">
      <c r="C24" s="2"/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  <c r="V24" s="2">
        <v>19</v>
      </c>
      <c r="W24" s="2">
        <v>20</v>
      </c>
      <c r="X24" s="2">
        <v>21</v>
      </c>
      <c r="Y24" s="2">
        <v>22</v>
      </c>
      <c r="Z24" s="2">
        <v>23</v>
      </c>
      <c r="AA24" s="2">
        <v>24</v>
      </c>
    </row>
    <row r="25" spans="2:27" x14ac:dyDescent="0.2">
      <c r="C25" s="3" t="s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2:27" x14ac:dyDescent="0.2">
      <c r="C26" s="3" t="s">
        <v>2</v>
      </c>
      <c r="D26" s="3">
        <v>8.0999999999999996E-3</v>
      </c>
      <c r="E26" s="3"/>
      <c r="F26" s="3"/>
      <c r="G26" s="3">
        <v>9.4000000000000004E-3</v>
      </c>
      <c r="H26" s="3">
        <f>G26</f>
        <v>9.4000000000000004E-3</v>
      </c>
      <c r="I26" s="3">
        <v>1.0699999999999999E-2</v>
      </c>
      <c r="J26" s="3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2:27" x14ac:dyDescent="0.2">
      <c r="C27" s="3" t="s">
        <v>3</v>
      </c>
      <c r="D27" s="3">
        <v>0.1246</v>
      </c>
      <c r="E27" s="3">
        <v>2.0000000000000001E-4</v>
      </c>
      <c r="F27" s="3">
        <v>1E-4</v>
      </c>
      <c r="G27" s="3">
        <v>0.14480000000000001</v>
      </c>
      <c r="H27" s="3">
        <f>G27</f>
        <v>0.14480000000000001</v>
      </c>
      <c r="I27" s="3">
        <v>1.6500000000000001E-2</v>
      </c>
      <c r="J27" s="33">
        <v>5.1700000000000003E-2</v>
      </c>
      <c r="K27" s="3">
        <v>0.1663</v>
      </c>
      <c r="L27" s="3"/>
      <c r="M27" s="3">
        <f>K27</f>
        <v>0.1663</v>
      </c>
      <c r="N27" s="3">
        <f>M27</f>
        <v>0.1663</v>
      </c>
      <c r="O27" s="3">
        <v>5.1700000000000003E-2</v>
      </c>
      <c r="P27" s="33">
        <f>J27</f>
        <v>5.1700000000000003E-2</v>
      </c>
      <c r="Q27" s="3">
        <f>N27</f>
        <v>0.1663</v>
      </c>
      <c r="R27" s="3">
        <f>O27</f>
        <v>5.1700000000000003E-2</v>
      </c>
      <c r="S27" s="3">
        <v>0.10780000000000001</v>
      </c>
      <c r="T27" s="3">
        <v>0.98540000000000005</v>
      </c>
      <c r="U27" s="3">
        <v>0.99739999999999995</v>
      </c>
      <c r="V27" s="3"/>
      <c r="W27" s="3"/>
      <c r="X27" s="3"/>
      <c r="Y27" s="3"/>
      <c r="Z27" s="3"/>
      <c r="AA27" s="3"/>
    </row>
    <row r="28" spans="2:27" x14ac:dyDescent="0.2">
      <c r="C28" s="3" t="s">
        <v>128</v>
      </c>
      <c r="D28" s="3"/>
      <c r="E28" s="3"/>
      <c r="F28" s="3"/>
      <c r="G28" s="3"/>
      <c r="H28" s="3"/>
      <c r="I28" s="32">
        <v>9.9999999999999995E-7</v>
      </c>
      <c r="J28" s="33">
        <v>0.73640000000000005</v>
      </c>
      <c r="K28" s="3">
        <v>0.64610000000000001</v>
      </c>
      <c r="L28" s="33">
        <v>1</v>
      </c>
      <c r="M28" s="3">
        <f t="shared" ref="M28:M30" si="0">K28</f>
        <v>0.64610000000000001</v>
      </c>
      <c r="N28" s="3">
        <f t="shared" ref="N28:N30" si="1">M28</f>
        <v>0.64610000000000001</v>
      </c>
      <c r="O28" s="3">
        <v>0.7369</v>
      </c>
      <c r="P28" s="33">
        <f t="shared" ref="P28:P29" si="2">J28</f>
        <v>0.73640000000000005</v>
      </c>
      <c r="Q28" s="3">
        <f t="shared" ref="Q28:R29" si="3">N28</f>
        <v>0.64610000000000001</v>
      </c>
      <c r="R28" s="3">
        <f t="shared" si="3"/>
        <v>0.7369</v>
      </c>
      <c r="S28" s="3">
        <v>0.1181</v>
      </c>
      <c r="T28" s="3"/>
      <c r="U28" s="3"/>
      <c r="V28" s="3"/>
      <c r="W28" s="3"/>
      <c r="X28" s="3"/>
      <c r="Y28" s="3"/>
      <c r="Z28" s="3"/>
      <c r="AA28" s="3"/>
    </row>
    <row r="29" spans="2:27" x14ac:dyDescent="0.2">
      <c r="C29" s="3" t="s">
        <v>4</v>
      </c>
      <c r="D29" s="3">
        <v>0.14940000000000001</v>
      </c>
      <c r="E29" s="3">
        <v>0.99980000000000002</v>
      </c>
      <c r="F29" s="3">
        <v>0.99990000000000001</v>
      </c>
      <c r="G29" s="3">
        <v>1.1299999999999999E-2</v>
      </c>
      <c r="H29" s="3">
        <f>G29</f>
        <v>1.1299999999999999E-2</v>
      </c>
      <c r="I29" s="3">
        <v>2.1299999999999999E-2</v>
      </c>
      <c r="J29" s="33">
        <v>0.21190000000000001</v>
      </c>
      <c r="K29" s="3">
        <v>0.1875</v>
      </c>
      <c r="L29" s="3"/>
      <c r="M29" s="3">
        <f t="shared" si="0"/>
        <v>0.1875</v>
      </c>
      <c r="N29" s="3">
        <f t="shared" si="1"/>
        <v>0.1875</v>
      </c>
      <c r="O29" s="33">
        <v>0.2114</v>
      </c>
      <c r="P29" s="33">
        <f t="shared" si="2"/>
        <v>0.21190000000000001</v>
      </c>
      <c r="Q29" s="3">
        <f t="shared" si="3"/>
        <v>0.1875</v>
      </c>
      <c r="R29" s="3">
        <f t="shared" si="3"/>
        <v>0.2114</v>
      </c>
      <c r="S29" s="3">
        <v>0.77410000000000001</v>
      </c>
      <c r="T29" s="3">
        <v>1.3899999999999999E-2</v>
      </c>
      <c r="U29" s="33">
        <v>1.9E-3</v>
      </c>
      <c r="V29" s="33">
        <v>1</v>
      </c>
      <c r="W29" s="33">
        <v>1</v>
      </c>
      <c r="X29" s="3"/>
      <c r="Y29" s="3"/>
      <c r="Z29" s="3"/>
      <c r="AA29" s="3"/>
    </row>
    <row r="30" spans="2:27" x14ac:dyDescent="0.2">
      <c r="C30" s="3" t="s">
        <v>5</v>
      </c>
      <c r="D30" s="3">
        <v>0.68130000000000002</v>
      </c>
      <c r="E30" s="3"/>
      <c r="F30" s="3"/>
      <c r="G30" s="3">
        <v>0.79200000000000004</v>
      </c>
      <c r="H30" s="3">
        <f>G30</f>
        <v>0.79200000000000004</v>
      </c>
      <c r="I30" s="3">
        <v>0.90300000000000002</v>
      </c>
      <c r="J30" s="33"/>
      <c r="K30" s="3">
        <v>1E-4</v>
      </c>
      <c r="L30" s="3"/>
      <c r="M30" s="3">
        <f t="shared" si="0"/>
        <v>1E-4</v>
      </c>
      <c r="N30" s="3">
        <f t="shared" si="1"/>
        <v>1E-4</v>
      </c>
      <c r="O30" s="3"/>
      <c r="P30" s="3"/>
      <c r="Q30" s="3">
        <f>N30</f>
        <v>1E-4</v>
      </c>
      <c r="R30" s="3"/>
      <c r="S30" s="3"/>
      <c r="T30" s="3">
        <v>5.9999999999999995E-4</v>
      </c>
      <c r="U30" s="3">
        <v>5.9999999999999995E-4</v>
      </c>
      <c r="V30" s="3"/>
      <c r="W30" s="3"/>
      <c r="X30" s="3"/>
      <c r="Y30" s="3"/>
      <c r="Z30" s="3"/>
      <c r="AA30" s="3"/>
    </row>
    <row r="31" spans="2:27" x14ac:dyDescent="0.2">
      <c r="C31" s="3" t="s">
        <v>6</v>
      </c>
      <c r="D31" s="3"/>
      <c r="E31" s="3"/>
      <c r="F31" s="3"/>
      <c r="G31" s="3"/>
      <c r="H31" s="3"/>
      <c r="I31" s="3"/>
      <c r="J31" s="3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3">
        <v>1</v>
      </c>
      <c r="Y31" s="33">
        <v>1</v>
      </c>
      <c r="Z31" s="33">
        <v>1</v>
      </c>
      <c r="AA31" s="33">
        <v>1</v>
      </c>
    </row>
    <row r="32" spans="2:27" x14ac:dyDescent="0.2">
      <c r="C32" s="3" t="s">
        <v>7</v>
      </c>
      <c r="D32" s="3">
        <v>3.6600000000000001E-2</v>
      </c>
      <c r="E32" s="3"/>
      <c r="F32" s="3"/>
      <c r="G32" s="3">
        <v>4.2500000000000003E-2</v>
      </c>
      <c r="H32" s="3">
        <f>G32</f>
        <v>4.2500000000000003E-2</v>
      </c>
      <c r="I32" s="3">
        <v>4.8500000000000001E-2</v>
      </c>
      <c r="J32" s="33"/>
      <c r="K32" s="3"/>
      <c r="L32" s="3"/>
      <c r="M32" s="3"/>
      <c r="N32" s="3"/>
      <c r="O32" s="3"/>
      <c r="P32" s="3"/>
      <c r="Q32" s="3"/>
      <c r="R32" s="3"/>
      <c r="S32" s="3"/>
      <c r="T32" s="3"/>
      <c r="U32" s="3">
        <v>1E-4</v>
      </c>
      <c r="V32" s="3"/>
      <c r="W32" s="3"/>
      <c r="X32" s="3"/>
      <c r="Y32" s="3"/>
      <c r="Z32" s="3"/>
      <c r="AA32" s="3"/>
    </row>
    <row r="33" spans="2:27" x14ac:dyDescent="0.2">
      <c r="C33" s="3"/>
      <c r="D33" s="3"/>
      <c r="E33" s="3"/>
      <c r="F33" s="3"/>
      <c r="G33" s="3"/>
      <c r="H33" s="3"/>
      <c r="I33" s="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"/>
      <c r="Y33" s="3"/>
      <c r="Z33" s="3"/>
      <c r="AA33" s="3"/>
    </row>
    <row r="34" spans="2:27" x14ac:dyDescent="0.2">
      <c r="C34" s="3" t="s">
        <v>8</v>
      </c>
      <c r="D34" s="31">
        <f>116568*F23</f>
        <v>109107.648</v>
      </c>
      <c r="E34" s="31">
        <f>2401.7*F23</f>
        <v>2247.9911999999999</v>
      </c>
      <c r="F34" s="31">
        <f>F23*14087.3</f>
        <v>13185.712799999999</v>
      </c>
      <c r="G34" s="31">
        <f>100285*F23</f>
        <v>93866.760000000009</v>
      </c>
      <c r="H34" s="31">
        <f>G34</f>
        <v>93866.760000000009</v>
      </c>
      <c r="I34" s="31">
        <f>87941*F23</f>
        <v>82312.775999999998</v>
      </c>
      <c r="J34" s="31">
        <f>94801.4*F23</f>
        <v>88734.110400000005</v>
      </c>
      <c r="K34" s="31">
        <f>108033*F23</f>
        <v>101118.88800000001</v>
      </c>
      <c r="L34" s="31">
        <f>L35/L41</f>
        <v>1.2518091009988903</v>
      </c>
      <c r="M34" s="31">
        <f>K34</f>
        <v>101118.88800000001</v>
      </c>
      <c r="N34" s="31">
        <f>97228.7*F23</f>
        <v>91006.063200000004</v>
      </c>
      <c r="O34" s="31">
        <f>94707.5*F23</f>
        <v>88646.22</v>
      </c>
      <c r="P34" s="31">
        <f>J34</f>
        <v>88734.110400000005</v>
      </c>
      <c r="Q34" s="31">
        <f>10803.2*F23</f>
        <v>10111.7952</v>
      </c>
      <c r="R34" s="31">
        <f>O34</f>
        <v>88646.22</v>
      </c>
      <c r="S34" s="31">
        <f>57.4*F23</f>
        <v>53.726400000000005</v>
      </c>
      <c r="T34" s="31">
        <f>13267*F23</f>
        <v>12417.912</v>
      </c>
      <c r="U34" s="31">
        <f>13107*F23</f>
        <v>12268.152</v>
      </c>
      <c r="V34" s="31">
        <f>30905.2*F23</f>
        <v>28927.267200000002</v>
      </c>
      <c r="W34" s="31">
        <f>V34</f>
        <v>28927.267200000002</v>
      </c>
      <c r="X34" s="31">
        <f>6904*F23</f>
        <v>6462.1440000000002</v>
      </c>
      <c r="Y34" s="31">
        <f>X34</f>
        <v>6462.1440000000002</v>
      </c>
      <c r="Z34" s="31">
        <f t="shared" ref="Z34:AA35" si="4">Y34</f>
        <v>6462.1440000000002</v>
      </c>
      <c r="AA34" s="31">
        <f t="shared" si="4"/>
        <v>6462.1440000000002</v>
      </c>
    </row>
    <row r="35" spans="2:27" x14ac:dyDescent="0.2">
      <c r="C35" s="3" t="s">
        <v>9</v>
      </c>
      <c r="D35" s="31">
        <f>3351890*F23</f>
        <v>3137369.04</v>
      </c>
      <c r="E35" s="31">
        <f>39566.2*F23</f>
        <v>37033.963199999998</v>
      </c>
      <c r="F35" s="31">
        <f>F23*253821</f>
        <v>237576.45600000001</v>
      </c>
      <c r="G35" s="31">
        <f>3058500*F23</f>
        <v>2862756</v>
      </c>
      <c r="H35" s="31">
        <f>G35</f>
        <v>2862756</v>
      </c>
      <c r="I35" s="31">
        <f>2496280*F23</f>
        <v>2336518.08</v>
      </c>
      <c r="J35" s="31">
        <f>13160400*F23</f>
        <v>12318134.4</v>
      </c>
      <c r="K35" s="31">
        <f>13737100*F23</f>
        <v>12857925.600000001</v>
      </c>
      <c r="L35" s="31">
        <f>241*F23</f>
        <v>225.57600000000002</v>
      </c>
      <c r="M35" s="31">
        <f>K35</f>
        <v>12857925.600000001</v>
      </c>
      <c r="N35" s="31">
        <f>12363300*F23</f>
        <v>11572048.800000001</v>
      </c>
      <c r="O35" s="31">
        <f>13155700*F23</f>
        <v>12313735.200000001</v>
      </c>
      <c r="P35" s="31">
        <f>J35</f>
        <v>12318134.4</v>
      </c>
      <c r="Q35" s="31">
        <f>1373690*F23</f>
        <v>1285773.8400000001</v>
      </c>
      <c r="R35" s="31">
        <f>O35</f>
        <v>12313735.200000001</v>
      </c>
      <c r="S35" s="31">
        <f>2295.9*F23</f>
        <v>2148.9624000000003</v>
      </c>
      <c r="T35" s="31">
        <f>578931*F23</f>
        <v>541879.41600000008</v>
      </c>
      <c r="U35" s="31">
        <f>576048*F23</f>
        <v>539180.92800000007</v>
      </c>
      <c r="V35" s="31">
        <f>556766*F23</f>
        <v>521132.97600000002</v>
      </c>
      <c r="W35" s="31">
        <f>V35</f>
        <v>521132.97600000002</v>
      </c>
      <c r="X35" s="31">
        <f>117579*F23</f>
        <v>110053.944</v>
      </c>
      <c r="Y35" s="31">
        <f>X35</f>
        <v>110053.944</v>
      </c>
      <c r="Z35" s="31">
        <f t="shared" si="4"/>
        <v>110053.944</v>
      </c>
      <c r="AA35" s="31">
        <f t="shared" si="4"/>
        <v>110053.944</v>
      </c>
    </row>
    <row r="36" spans="2:2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">
      <c r="C37" s="3" t="s">
        <v>10</v>
      </c>
      <c r="D37" s="3">
        <v>56.2</v>
      </c>
      <c r="E37" s="3">
        <v>8.9</v>
      </c>
      <c r="F37" s="3">
        <v>25.6</v>
      </c>
      <c r="G37" s="3">
        <v>8.9</v>
      </c>
      <c r="H37" s="3">
        <v>17.100000000000001</v>
      </c>
      <c r="I37" s="3">
        <v>19.899999999999999</v>
      </c>
      <c r="J37" s="3">
        <v>23.9</v>
      </c>
      <c r="K37" s="3">
        <v>35.1</v>
      </c>
      <c r="L37" s="3">
        <v>23.9</v>
      </c>
      <c r="M37" s="3">
        <v>35.299999999999997</v>
      </c>
      <c r="N37" s="3">
        <v>86.1</v>
      </c>
      <c r="O37" s="3">
        <v>101.2</v>
      </c>
      <c r="P37" s="3">
        <v>39.4</v>
      </c>
      <c r="Q37" s="3">
        <f>M37</f>
        <v>35.299999999999997</v>
      </c>
      <c r="R37" s="3">
        <v>101.1</v>
      </c>
      <c r="S37" s="3">
        <v>25.7</v>
      </c>
      <c r="T37" s="3">
        <v>25.6</v>
      </c>
      <c r="U37" s="3">
        <v>44.2</v>
      </c>
      <c r="V37" s="3">
        <v>163.80000000000001</v>
      </c>
      <c r="W37" s="3">
        <v>111.1</v>
      </c>
      <c r="X37" s="3">
        <v>3.7</v>
      </c>
      <c r="Y37" s="3">
        <v>79.3</v>
      </c>
      <c r="Z37" s="3">
        <v>28.9</v>
      </c>
      <c r="AA37" s="3">
        <v>2.6</v>
      </c>
    </row>
    <row r="38" spans="2:27" x14ac:dyDescent="0.2">
      <c r="C38" s="3" t="s">
        <v>11</v>
      </c>
      <c r="D38" s="3">
        <v>1.03</v>
      </c>
      <c r="E38" s="3">
        <v>1.02</v>
      </c>
      <c r="F38" s="3">
        <v>1.02</v>
      </c>
      <c r="G38" s="3">
        <v>1.02</v>
      </c>
      <c r="H38" s="3">
        <v>1.1000000000000001</v>
      </c>
      <c r="I38" s="3">
        <v>1.02</v>
      </c>
      <c r="J38" s="3">
        <v>1.5</v>
      </c>
      <c r="K38" s="3">
        <v>1.1000000000000001</v>
      </c>
      <c r="L38" s="3">
        <v>1.5</v>
      </c>
      <c r="M38" s="3">
        <v>6.5</v>
      </c>
      <c r="N38" s="3">
        <v>6</v>
      </c>
      <c r="O38" s="3">
        <v>6</v>
      </c>
      <c r="P38" s="3">
        <v>3.03</v>
      </c>
      <c r="Q38" s="3">
        <f t="shared" ref="Q38:Q41" si="5">M38</f>
        <v>6.5</v>
      </c>
      <c r="R38" s="3">
        <v>1.8</v>
      </c>
      <c r="S38" s="3">
        <v>5.4</v>
      </c>
      <c r="T38" s="3">
        <v>1.8</v>
      </c>
      <c r="U38" s="3">
        <v>152.69999999999999</v>
      </c>
      <c r="V38" s="3">
        <v>1.7</v>
      </c>
      <c r="W38" s="3">
        <v>1.5</v>
      </c>
      <c r="X38" s="3">
        <v>4.7</v>
      </c>
      <c r="Y38" s="3">
        <v>11.5</v>
      </c>
      <c r="Z38" s="3">
        <v>11.5</v>
      </c>
      <c r="AA38" s="3">
        <v>4.7</v>
      </c>
    </row>
    <row r="39" spans="2:27" x14ac:dyDescent="0.2">
      <c r="C39" s="3" t="s">
        <v>12</v>
      </c>
      <c r="D39" s="34">
        <v>-2959</v>
      </c>
      <c r="E39" s="34">
        <v>-15941</v>
      </c>
      <c r="F39" s="34">
        <v>-15872</v>
      </c>
      <c r="G39" s="34">
        <v>-1976.2</v>
      </c>
      <c r="H39" s="34">
        <v>-1968</v>
      </c>
      <c r="I39" s="34">
        <v>-416.4</v>
      </c>
      <c r="J39" s="34">
        <v>-3303.5</v>
      </c>
      <c r="K39" s="34">
        <v>-3597.1</v>
      </c>
      <c r="L39" s="34">
        <v>-2812.4</v>
      </c>
      <c r="M39" s="34">
        <v>-3596.5</v>
      </c>
      <c r="N39" s="34">
        <v>-3400.6</v>
      </c>
      <c r="O39" s="34">
        <v>-3078</v>
      </c>
      <c r="P39" s="34">
        <v>-3263.3</v>
      </c>
      <c r="Q39" s="3">
        <f t="shared" si="5"/>
        <v>-3596.5</v>
      </c>
      <c r="R39" s="34">
        <v>-3078.5</v>
      </c>
      <c r="S39" s="34">
        <v>-8389.5</v>
      </c>
      <c r="T39" s="34">
        <v>-8970</v>
      </c>
      <c r="U39" s="34">
        <v>-9154.4</v>
      </c>
      <c r="V39" s="34">
        <v>-13182</v>
      </c>
      <c r="W39" s="34">
        <v>-15515</v>
      </c>
      <c r="X39" s="34">
        <v>-2769.3</v>
      </c>
      <c r="Y39" s="34">
        <v>-2611.1999999999998</v>
      </c>
      <c r="Z39" s="34">
        <v>-3900</v>
      </c>
      <c r="AA39" s="34">
        <v>-3901</v>
      </c>
    </row>
    <row r="40" spans="2:27" x14ac:dyDescent="0.2">
      <c r="C40" s="3" t="s">
        <v>13</v>
      </c>
      <c r="D40" s="3">
        <v>1.1100000000000001</v>
      </c>
      <c r="E40" s="3">
        <v>999.7</v>
      </c>
      <c r="F40" s="3">
        <v>996.8</v>
      </c>
      <c r="G40" s="3">
        <v>1.33</v>
      </c>
      <c r="H40" s="3">
        <v>1.4</v>
      </c>
      <c r="I40" s="3">
        <v>1.2</v>
      </c>
      <c r="J40" s="3">
        <v>934.4</v>
      </c>
      <c r="K40" s="3">
        <v>958.7</v>
      </c>
      <c r="L40" s="3">
        <v>919.5</v>
      </c>
      <c r="M40" s="3">
        <v>958.7</v>
      </c>
      <c r="N40" s="3">
        <v>494.5</v>
      </c>
      <c r="O40" s="3">
        <v>869.5</v>
      </c>
      <c r="P40" s="3">
        <v>922.2</v>
      </c>
      <c r="Q40" s="3">
        <f t="shared" si="5"/>
        <v>958.7</v>
      </c>
      <c r="R40" s="3">
        <v>869.6</v>
      </c>
      <c r="S40" s="3">
        <v>1127.8</v>
      </c>
      <c r="T40" s="3">
        <v>3.18</v>
      </c>
      <c r="U40" s="3">
        <v>488.7</v>
      </c>
      <c r="V40" s="3">
        <v>0.85</v>
      </c>
      <c r="W40" s="3">
        <v>950.2</v>
      </c>
      <c r="X40" s="3">
        <v>3.76</v>
      </c>
      <c r="Y40" s="3">
        <v>7.14</v>
      </c>
      <c r="Z40" s="3">
        <v>596.9</v>
      </c>
      <c r="AA40" s="3">
        <v>36.200000000000003</v>
      </c>
    </row>
    <row r="41" spans="2:27" x14ac:dyDescent="0.2">
      <c r="C41" s="3" t="s">
        <v>14</v>
      </c>
      <c r="D41" s="3">
        <v>28.75</v>
      </c>
      <c r="E41" s="3">
        <v>18.02</v>
      </c>
      <c r="F41" s="3">
        <v>18.02</v>
      </c>
      <c r="G41" s="3">
        <v>30.5</v>
      </c>
      <c r="H41" s="3">
        <f>G41</f>
        <v>30.5</v>
      </c>
      <c r="I41" s="3">
        <v>28.39</v>
      </c>
      <c r="J41" s="3">
        <v>138.80000000000001</v>
      </c>
      <c r="K41" s="3">
        <v>127.2</v>
      </c>
      <c r="L41" s="3">
        <v>180.2</v>
      </c>
      <c r="M41" s="3">
        <f>K41</f>
        <v>127.2</v>
      </c>
      <c r="N41" s="3">
        <f>M41</f>
        <v>127.2</v>
      </c>
      <c r="O41" s="3">
        <v>138.9</v>
      </c>
      <c r="P41" s="3">
        <f>J41</f>
        <v>138.80000000000001</v>
      </c>
      <c r="Q41" s="3">
        <f t="shared" si="5"/>
        <v>127.2</v>
      </c>
      <c r="R41" s="3">
        <f>O41</f>
        <v>138.9</v>
      </c>
      <c r="S41" s="3">
        <v>39.979999999999997</v>
      </c>
      <c r="T41" s="3">
        <v>43.64</v>
      </c>
      <c r="U41" s="3">
        <v>43.95</v>
      </c>
      <c r="V41" s="3">
        <v>18.010000000000002</v>
      </c>
      <c r="W41" s="3">
        <v>18.010000000000002</v>
      </c>
      <c r="X41" s="3">
        <v>17.03</v>
      </c>
      <c r="Y41" s="3">
        <v>17.03</v>
      </c>
      <c r="Z41" s="3">
        <v>17.03</v>
      </c>
      <c r="AA41" s="3">
        <v>17.03</v>
      </c>
    </row>
    <row r="43" spans="2:27" x14ac:dyDescent="0.2">
      <c r="B43" s="1" t="s">
        <v>132</v>
      </c>
      <c r="D43" t="s">
        <v>199</v>
      </c>
    </row>
    <row r="45" spans="2:27" x14ac:dyDescent="0.2">
      <c r="C45" s="53" t="s">
        <v>138</v>
      </c>
      <c r="D45" s="18"/>
      <c r="E45" s="42"/>
    </row>
    <row r="46" spans="2:27" x14ac:dyDescent="0.2">
      <c r="C46" s="37" t="s">
        <v>133</v>
      </c>
      <c r="D46" s="7">
        <f>5787*F23</f>
        <v>5416.6320000000005</v>
      </c>
      <c r="E46" s="36" t="s">
        <v>139</v>
      </c>
    </row>
    <row r="47" spans="2:27" x14ac:dyDescent="0.2">
      <c r="C47" s="37" t="s">
        <v>134</v>
      </c>
      <c r="D47" s="7">
        <f>D90</f>
        <v>1904.4683230204994</v>
      </c>
      <c r="E47" s="36" t="s">
        <v>139</v>
      </c>
    </row>
    <row r="48" spans="2:27" x14ac:dyDescent="0.2">
      <c r="C48" s="37" t="s">
        <v>135</v>
      </c>
      <c r="D48" s="7">
        <f>D89</f>
        <v>2344.2808530310604</v>
      </c>
      <c r="E48" s="36" t="s">
        <v>139</v>
      </c>
    </row>
    <row r="49" spans="2:8" x14ac:dyDescent="0.2">
      <c r="C49" s="37" t="s">
        <v>136</v>
      </c>
      <c r="D49" s="7">
        <f>D88</f>
        <v>53.584739629946341</v>
      </c>
      <c r="E49" s="36" t="s">
        <v>139</v>
      </c>
    </row>
    <row r="50" spans="2:8" x14ac:dyDescent="0.2">
      <c r="C50" s="37" t="s">
        <v>172</v>
      </c>
      <c r="D50" s="7">
        <f>D91</f>
        <v>1.9481826824389878</v>
      </c>
      <c r="E50" s="36" t="s">
        <v>139</v>
      </c>
    </row>
    <row r="51" spans="2:8" x14ac:dyDescent="0.2">
      <c r="C51" s="37" t="s">
        <v>137</v>
      </c>
      <c r="D51" s="7">
        <f>D65</f>
        <v>6507</v>
      </c>
      <c r="E51" s="36" t="s">
        <v>139</v>
      </c>
    </row>
    <row r="52" spans="2:8" x14ac:dyDescent="0.2">
      <c r="C52" s="39" t="s">
        <v>141</v>
      </c>
      <c r="D52" s="52">
        <f>D102</f>
        <v>41380</v>
      </c>
      <c r="E52" s="40" t="s">
        <v>139</v>
      </c>
    </row>
    <row r="54" spans="2:8" x14ac:dyDescent="0.2">
      <c r="C54" s="53" t="s">
        <v>140</v>
      </c>
      <c r="D54" s="18"/>
      <c r="E54" s="42"/>
    </row>
    <row r="55" spans="2:8" x14ac:dyDescent="0.2">
      <c r="C55" s="37" t="s">
        <v>144</v>
      </c>
      <c r="D55" s="35">
        <f>(151.6)*F23</f>
        <v>141.89760000000001</v>
      </c>
      <c r="E55" s="36" t="s">
        <v>142</v>
      </c>
    </row>
    <row r="56" spans="2:8" x14ac:dyDescent="0.2">
      <c r="C56" s="37" t="s">
        <v>143</v>
      </c>
      <c r="D56" s="35">
        <f>D69+D70</f>
        <v>679.12710904643632</v>
      </c>
      <c r="E56" s="36" t="s">
        <v>142</v>
      </c>
    </row>
    <row r="57" spans="2:8" x14ac:dyDescent="0.2">
      <c r="C57" s="37" t="s">
        <v>145</v>
      </c>
      <c r="D57" s="35">
        <f>D72</f>
        <v>494.54912615474774</v>
      </c>
      <c r="E57" s="36" t="s">
        <v>142</v>
      </c>
    </row>
    <row r="58" spans="2:8" x14ac:dyDescent="0.2">
      <c r="C58" s="37" t="s">
        <v>146</v>
      </c>
      <c r="D58" s="35">
        <f>D74</f>
        <v>27.157592612171339</v>
      </c>
      <c r="E58" s="36" t="s">
        <v>142</v>
      </c>
    </row>
    <row r="59" spans="2:8" x14ac:dyDescent="0.2">
      <c r="C59" s="39" t="s">
        <v>147</v>
      </c>
      <c r="D59" s="54">
        <f>D67</f>
        <v>683.15392450272384</v>
      </c>
      <c r="E59" s="40" t="s">
        <v>142</v>
      </c>
    </row>
    <row r="61" spans="2:8" x14ac:dyDescent="0.2">
      <c r="B61" s="1" t="s">
        <v>150</v>
      </c>
    </row>
    <row r="63" spans="2:8" x14ac:dyDescent="0.2">
      <c r="B63" s="43" t="s">
        <v>189</v>
      </c>
      <c r="C63" s="44"/>
      <c r="D63" s="43" t="s">
        <v>148</v>
      </c>
      <c r="E63" s="44"/>
      <c r="F63" s="43" t="s">
        <v>154</v>
      </c>
      <c r="G63" s="43" t="s">
        <v>169</v>
      </c>
      <c r="H63" s="45"/>
    </row>
    <row r="64" spans="2:8" x14ac:dyDescent="0.2">
      <c r="B64" s="37" t="s">
        <v>149</v>
      </c>
      <c r="C64" s="36"/>
      <c r="F64" s="37"/>
      <c r="G64" s="37"/>
      <c r="H64" s="36"/>
    </row>
    <row r="65" spans="2:8" x14ac:dyDescent="0.2">
      <c r="B65" s="37"/>
      <c r="C65" s="36" t="s">
        <v>137</v>
      </c>
      <c r="D65" s="15">
        <v>6507</v>
      </c>
      <c r="E65" t="s">
        <v>139</v>
      </c>
      <c r="F65" s="37"/>
      <c r="G65" s="46">
        <v>9576734.7272503637</v>
      </c>
      <c r="H65" s="36"/>
    </row>
    <row r="66" spans="2:8" x14ac:dyDescent="0.2">
      <c r="B66" s="37" t="s">
        <v>156</v>
      </c>
      <c r="C66" s="36"/>
      <c r="D66" s="15"/>
      <c r="F66" s="37"/>
      <c r="G66" s="37"/>
      <c r="H66" s="36"/>
    </row>
    <row r="67" spans="2:8" x14ac:dyDescent="0.2">
      <c r="B67" s="37"/>
      <c r="C67" s="36" t="s">
        <v>147</v>
      </c>
      <c r="D67" s="48">
        <v>683.15392450272384</v>
      </c>
      <c r="E67" t="s">
        <v>142</v>
      </c>
      <c r="F67" s="37"/>
      <c r="G67" s="46">
        <v>9390114.6212903783</v>
      </c>
      <c r="H67" s="36"/>
    </row>
    <row r="68" spans="2:8" x14ac:dyDescent="0.2">
      <c r="B68" s="37"/>
      <c r="C68" s="36" t="s">
        <v>170</v>
      </c>
      <c r="D68" s="48">
        <v>140.37665974360289</v>
      </c>
      <c r="E68" t="s">
        <v>142</v>
      </c>
      <c r="F68" s="37"/>
      <c r="G68" s="46">
        <v>373782.69890182855</v>
      </c>
      <c r="H68" s="36"/>
    </row>
    <row r="69" spans="2:8" x14ac:dyDescent="0.2">
      <c r="B69" s="37"/>
      <c r="C69" s="36" t="s">
        <v>157</v>
      </c>
      <c r="D69" s="48">
        <v>326.54663944359123</v>
      </c>
      <c r="E69" t="s">
        <v>142</v>
      </c>
      <c r="F69" s="37"/>
      <c r="G69" s="46">
        <v>2612792.8413063693</v>
      </c>
      <c r="H69" s="36"/>
    </row>
    <row r="70" spans="2:8" x14ac:dyDescent="0.2">
      <c r="B70" s="37"/>
      <c r="C70" s="36" t="s">
        <v>158</v>
      </c>
      <c r="D70" s="48">
        <v>352.58046960284514</v>
      </c>
      <c r="E70" t="s">
        <v>142</v>
      </c>
      <c r="F70" s="37"/>
      <c r="G70" s="46">
        <v>2749396.3969957102</v>
      </c>
      <c r="H70" s="36"/>
    </row>
    <row r="71" spans="2:8" x14ac:dyDescent="0.2">
      <c r="B71" s="37"/>
      <c r="C71" s="36" t="s">
        <v>159</v>
      </c>
      <c r="D71" s="48">
        <v>2269.1105096179917</v>
      </c>
      <c r="E71" t="s">
        <v>142</v>
      </c>
      <c r="F71" s="37"/>
      <c r="G71" s="46">
        <v>21615937.37765589</v>
      </c>
      <c r="H71" s="36"/>
    </row>
    <row r="72" spans="2:8" x14ac:dyDescent="0.2">
      <c r="B72" s="37"/>
      <c r="C72" s="36" t="s">
        <v>171</v>
      </c>
      <c r="D72" s="48">
        <v>494.54912615474774</v>
      </c>
      <c r="E72" t="s">
        <v>142</v>
      </c>
      <c r="F72" s="37"/>
      <c r="G72" s="46">
        <v>5284545.1242881911</v>
      </c>
      <c r="H72" s="36"/>
    </row>
    <row r="73" spans="2:8" x14ac:dyDescent="0.2">
      <c r="B73" s="37"/>
      <c r="C73" s="36" t="s">
        <v>160</v>
      </c>
      <c r="D73" s="48">
        <v>1215.4427397012821</v>
      </c>
      <c r="E73" t="s">
        <v>142</v>
      </c>
      <c r="F73" s="37"/>
      <c r="G73" s="46">
        <v>13886656.160113903</v>
      </c>
      <c r="H73" s="36"/>
    </row>
    <row r="74" spans="2:8" x14ac:dyDescent="0.2">
      <c r="B74" s="37"/>
      <c r="C74" s="36" t="s">
        <v>146</v>
      </c>
      <c r="D74" s="48">
        <v>27.157592612171339</v>
      </c>
      <c r="E74" t="s">
        <v>142</v>
      </c>
      <c r="F74" s="37"/>
      <c r="G74" s="46">
        <v>88287.469425502524</v>
      </c>
      <c r="H74" s="36"/>
    </row>
    <row r="75" spans="2:8" x14ac:dyDescent="0.2">
      <c r="B75" s="37"/>
      <c r="C75" s="36" t="s">
        <v>161</v>
      </c>
      <c r="D75" s="48">
        <v>16.899999999999999</v>
      </c>
      <c r="E75" t="s">
        <v>142</v>
      </c>
      <c r="F75" s="37"/>
      <c r="G75" s="46">
        <v>61535</v>
      </c>
      <c r="H75" s="36"/>
    </row>
    <row r="76" spans="2:8" x14ac:dyDescent="0.2">
      <c r="B76" s="37" t="s">
        <v>183</v>
      </c>
      <c r="C76" s="36"/>
      <c r="F76" s="37"/>
      <c r="G76" s="37"/>
      <c r="H76" s="36"/>
    </row>
    <row r="77" spans="2:8" x14ac:dyDescent="0.2">
      <c r="B77" s="37"/>
      <c r="C77" s="36" t="s">
        <v>184</v>
      </c>
      <c r="D77" s="48">
        <f>19.6*F23^0.5</f>
        <v>18.96243022399819</v>
      </c>
      <c r="E77" t="s">
        <v>176</v>
      </c>
      <c r="F77" s="37"/>
      <c r="G77" s="46">
        <v>16881552.075706262</v>
      </c>
      <c r="H77" s="36"/>
    </row>
    <row r="78" spans="2:8" x14ac:dyDescent="0.2">
      <c r="B78" s="37"/>
      <c r="C78" s="36"/>
      <c r="D78" s="35">
        <v>16</v>
      </c>
      <c r="E78" t="s">
        <v>175</v>
      </c>
      <c r="F78" s="37"/>
      <c r="G78" s="37"/>
      <c r="H78" s="36"/>
    </row>
    <row r="79" spans="2:8" x14ac:dyDescent="0.2">
      <c r="B79" s="37"/>
      <c r="C79" s="36" t="s">
        <v>185</v>
      </c>
      <c r="D79" s="35">
        <f>20.7*F23^0.5</f>
        <v>20.026648246773597</v>
      </c>
      <c r="E79" t="s">
        <v>176</v>
      </c>
      <c r="F79" s="37"/>
      <c r="G79" s="46">
        <v>23882890.569418918</v>
      </c>
      <c r="H79" s="36"/>
    </row>
    <row r="80" spans="2:8" x14ac:dyDescent="0.2">
      <c r="B80" s="37"/>
      <c r="C80" s="36"/>
      <c r="D80" s="35">
        <v>19.8</v>
      </c>
      <c r="E80" t="s">
        <v>175</v>
      </c>
      <c r="F80" s="37"/>
      <c r="G80" s="37"/>
      <c r="H80" s="36"/>
    </row>
    <row r="81" spans="2:8" x14ac:dyDescent="0.2">
      <c r="B81" s="37"/>
      <c r="C81" s="36" t="s">
        <v>186</v>
      </c>
      <c r="D81" s="35">
        <f>11.6*F23^0.5</f>
        <v>11.222662785631581</v>
      </c>
      <c r="E81" t="s">
        <v>176</v>
      </c>
      <c r="F81" s="37"/>
      <c r="G81" s="46">
        <v>8656362.1010252945</v>
      </c>
      <c r="H81" s="36"/>
    </row>
    <row r="82" spans="2:8" x14ac:dyDescent="0.2">
      <c r="B82" s="37"/>
      <c r="C82" s="36"/>
      <c r="D82" s="35">
        <v>12</v>
      </c>
      <c r="E82" t="s">
        <v>175</v>
      </c>
      <c r="F82" s="37"/>
      <c r="G82" s="46"/>
      <c r="H82" s="36"/>
    </row>
    <row r="83" spans="2:8" x14ac:dyDescent="0.2">
      <c r="B83" s="37"/>
      <c r="C83" s="36" t="s">
        <v>162</v>
      </c>
      <c r="F83" s="37"/>
      <c r="G83" s="46">
        <v>385991.20736586954</v>
      </c>
      <c r="H83" s="36"/>
    </row>
    <row r="84" spans="2:8" x14ac:dyDescent="0.2">
      <c r="B84" s="37"/>
      <c r="C84" t="s">
        <v>235</v>
      </c>
      <c r="F84" s="37"/>
      <c r="G84" s="46">
        <v>55590.708058515964</v>
      </c>
      <c r="H84" s="36"/>
    </row>
    <row r="85" spans="2:8" x14ac:dyDescent="0.2">
      <c r="B85" s="37" t="s">
        <v>163</v>
      </c>
      <c r="C85" s="36"/>
      <c r="F85" s="37"/>
      <c r="G85" s="37"/>
      <c r="H85" s="36"/>
    </row>
    <row r="86" spans="2:8" x14ac:dyDescent="0.2">
      <c r="B86" s="37"/>
      <c r="C86" s="36" t="s">
        <v>164</v>
      </c>
      <c r="D86">
        <v>890</v>
      </c>
      <c r="E86" t="s">
        <v>139</v>
      </c>
      <c r="F86" s="37">
        <v>1</v>
      </c>
      <c r="G86" s="46">
        <v>2380280.4123685099</v>
      </c>
      <c r="H86" s="36"/>
    </row>
    <row r="87" spans="2:8" x14ac:dyDescent="0.2">
      <c r="B87" s="37"/>
      <c r="C87" s="36" t="s">
        <v>165</v>
      </c>
      <c r="D87">
        <v>199</v>
      </c>
      <c r="E87" t="s">
        <v>139</v>
      </c>
      <c r="F87" s="37">
        <v>1</v>
      </c>
      <c r="G87" s="46">
        <v>215148.14226472037</v>
      </c>
      <c r="H87" s="36"/>
    </row>
    <row r="88" spans="2:8" x14ac:dyDescent="0.2">
      <c r="B88" s="37"/>
      <c r="C88" s="36" t="s">
        <v>136</v>
      </c>
      <c r="D88" s="8">
        <v>53.584739629946341</v>
      </c>
      <c r="E88" t="s">
        <v>139</v>
      </c>
      <c r="F88" s="37">
        <v>1</v>
      </c>
      <c r="G88" s="46">
        <v>112851.5603496737</v>
      </c>
      <c r="H88" s="36"/>
    </row>
    <row r="89" spans="2:8" x14ac:dyDescent="0.2">
      <c r="B89" s="37"/>
      <c r="C89" s="36" t="s">
        <v>135</v>
      </c>
      <c r="D89" s="8">
        <v>2344.2808530310604</v>
      </c>
      <c r="E89" t="s">
        <v>139</v>
      </c>
      <c r="F89" s="37">
        <v>1</v>
      </c>
      <c r="G89" s="46">
        <v>4377096.8445199709</v>
      </c>
      <c r="H89" s="36"/>
    </row>
    <row r="90" spans="2:8" x14ac:dyDescent="0.2">
      <c r="B90" s="37"/>
      <c r="C90" s="36" t="s">
        <v>134</v>
      </c>
      <c r="D90" s="8">
        <v>1904.4683230204994</v>
      </c>
      <c r="E90" t="s">
        <v>139</v>
      </c>
      <c r="F90" s="37">
        <v>1</v>
      </c>
      <c r="G90" s="46">
        <v>5323649.9805908753</v>
      </c>
      <c r="H90" s="36"/>
    </row>
    <row r="91" spans="2:8" x14ac:dyDescent="0.2">
      <c r="B91" s="37"/>
      <c r="C91" s="36" t="s">
        <v>166</v>
      </c>
      <c r="D91" s="8">
        <v>1.9481826824389878</v>
      </c>
      <c r="E91" t="s">
        <v>139</v>
      </c>
      <c r="F91" s="37">
        <v>1</v>
      </c>
      <c r="G91" s="46">
        <v>22989.055001106721</v>
      </c>
      <c r="H91" s="36"/>
    </row>
    <row r="92" spans="2:8" x14ac:dyDescent="0.2">
      <c r="B92" s="37" t="s">
        <v>168</v>
      </c>
      <c r="C92" s="36"/>
      <c r="F92" s="37"/>
      <c r="G92" s="37"/>
      <c r="H92" s="36"/>
    </row>
    <row r="93" spans="2:8" x14ac:dyDescent="0.2">
      <c r="B93" s="37"/>
      <c r="C93" s="36" t="s">
        <v>181</v>
      </c>
      <c r="F93" s="37"/>
      <c r="G93" s="46">
        <v>2174304.6211237544</v>
      </c>
      <c r="H93" s="36"/>
    </row>
    <row r="94" spans="2:8" x14ac:dyDescent="0.2">
      <c r="B94" s="37"/>
      <c r="C94" s="36" t="s">
        <v>167</v>
      </c>
      <c r="D94" s="8">
        <v>11286</v>
      </c>
      <c r="E94" t="s">
        <v>182</v>
      </c>
      <c r="F94" s="37"/>
      <c r="G94" s="46">
        <v>11479555.256812148</v>
      </c>
      <c r="H94" s="36"/>
    </row>
    <row r="95" spans="2:8" x14ac:dyDescent="0.2">
      <c r="B95" s="37"/>
      <c r="C95" s="36" t="s">
        <v>177</v>
      </c>
      <c r="F95" s="37"/>
      <c r="G95" s="46">
        <v>3203516.1376264803</v>
      </c>
      <c r="H95" s="36"/>
    </row>
    <row r="96" spans="2:8" x14ac:dyDescent="0.2">
      <c r="B96" s="39"/>
      <c r="C96" s="41" t="s">
        <v>178</v>
      </c>
      <c r="D96" s="39"/>
      <c r="E96" s="41"/>
      <c r="F96" s="39"/>
      <c r="G96" s="47">
        <v>11078025.972893501</v>
      </c>
      <c r="H96" s="40"/>
    </row>
    <row r="97" spans="2:8" x14ac:dyDescent="0.2">
      <c r="B97" s="37" t="s">
        <v>155</v>
      </c>
      <c r="G97" s="50">
        <f>SUM(G65:G96)</f>
        <v>155869587.06235376</v>
      </c>
      <c r="H97" s="36"/>
    </row>
    <row r="98" spans="2:8" x14ac:dyDescent="0.2">
      <c r="B98" s="37" t="s">
        <v>187</v>
      </c>
      <c r="G98" s="46">
        <f>G97/581.8*615.9</f>
        <v>165005291.6323542</v>
      </c>
      <c r="H98" s="36"/>
    </row>
    <row r="99" spans="2:8" x14ac:dyDescent="0.2">
      <c r="B99" s="39" t="s">
        <v>188</v>
      </c>
      <c r="C99" s="41"/>
      <c r="D99" s="41"/>
      <c r="E99" s="41"/>
      <c r="F99" s="41"/>
      <c r="G99" s="47">
        <v>643006402</v>
      </c>
      <c r="H99" s="40"/>
    </row>
    <row r="101" spans="2:8" x14ac:dyDescent="0.2">
      <c r="B101" s="43" t="s">
        <v>80</v>
      </c>
      <c r="C101" s="44"/>
      <c r="D101" s="43" t="s">
        <v>148</v>
      </c>
      <c r="E101" s="44"/>
      <c r="F101" s="44"/>
      <c r="G101" s="43" t="s">
        <v>188</v>
      </c>
      <c r="H101" s="45"/>
    </row>
    <row r="102" spans="2:8" x14ac:dyDescent="0.2">
      <c r="B102" s="38"/>
      <c r="C102" s="18"/>
      <c r="D102" s="51">
        <v>41380</v>
      </c>
      <c r="E102" s="18" t="s">
        <v>139</v>
      </c>
      <c r="F102" s="18"/>
      <c r="G102" s="49">
        <v>82550618</v>
      </c>
      <c r="H102" s="42"/>
    </row>
    <row r="104" spans="2:8" x14ac:dyDescent="0.2">
      <c r="B104">
        <v>1</v>
      </c>
      <c r="C104" t="s">
        <v>152</v>
      </c>
    </row>
    <row r="105" spans="2:8" x14ac:dyDescent="0.2">
      <c r="B105">
        <v>2</v>
      </c>
      <c r="C105" t="s">
        <v>151</v>
      </c>
    </row>
    <row r="106" spans="2:8" x14ac:dyDescent="0.2">
      <c r="B106">
        <v>3</v>
      </c>
      <c r="C106" t="s">
        <v>153</v>
      </c>
    </row>
    <row r="107" spans="2:8" x14ac:dyDescent="0.2">
      <c r="B107" s="15" t="s">
        <v>173</v>
      </c>
      <c r="C107" t="s">
        <v>180</v>
      </c>
    </row>
    <row r="108" spans="2:8" x14ac:dyDescent="0.2">
      <c r="B108" s="15" t="s">
        <v>179</v>
      </c>
      <c r="C108" t="s">
        <v>174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COE and Carbon Capture Cost</vt:lpstr>
      <vt:lpstr>PFD of Blocks in Fig. 2</vt:lpstr>
      <vt:lpstr>CAPEX Model and Validation</vt:lpstr>
      <vt:lpstr>Component List</vt:lpstr>
      <vt:lpstr>Case EEMPA SS</vt:lpstr>
      <vt:lpstr>Case EEMPA TSF</vt:lpstr>
      <vt:lpstr>Case EEDIDA SS</vt:lpstr>
      <vt:lpstr>Case EEDIDA TSF</vt:lpstr>
      <vt:lpstr>Case MPMPA SS</vt:lpstr>
      <vt:lpstr>Case MPMPA TSF</vt:lpstr>
      <vt:lpstr>Case MPMEA SS</vt:lpstr>
      <vt:lpstr>Case MPMEA TSF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Yuan</dc:creator>
  <cp:lastModifiedBy>Matthias Fripp</cp:lastModifiedBy>
  <dcterms:created xsi:type="dcterms:W3CDTF">2015-06-05T18:17:20Z</dcterms:created>
  <dcterms:modified xsi:type="dcterms:W3CDTF">2023-08-22T17:11:49Z</dcterms:modified>
</cp:coreProperties>
</file>