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drawings/drawing4.xml" ContentType="application/vnd.openxmlformats-officedocument.drawingml.chartshapes+xml"/>
  <Override PartName="/xl/charts/chart3.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4.xml" ContentType="application/vnd.openxmlformats-officedocument.drawingml.chart+xml"/>
  <Override PartName="/xl/drawings/drawing7.xml" ContentType="application/vnd.openxmlformats-officedocument.drawing+xml"/>
  <Override PartName="/xl/charts/chart5.xml" ContentType="application/vnd.openxmlformats-officedocument.drawingml.chart+xml"/>
  <Override PartName="/xl/drawings/drawing8.xml" ContentType="application/vnd.openxmlformats-officedocument.drawing+xml"/>
  <Override PartName="/xl/charts/chart6.xml" ContentType="application/vnd.openxmlformats-officedocument.drawingml.chart+xml"/>
  <Override PartName="/xl/drawings/drawing9.xml" ContentType="application/vnd.openxmlformats-officedocument.drawing+xml"/>
  <Override PartName="/xl/charts/chart7.xml" ContentType="application/vnd.openxmlformats-officedocument.drawingml.chart+xml"/>
  <Override PartName="/xl/drawings/drawing10.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11.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12.xml" ContentType="application/vnd.openxmlformats-officedocument.drawing+xml"/>
  <Override PartName="/xl/charts/chart13.xml" ContentType="application/vnd.openxmlformats-officedocument.drawingml.chart+xml"/>
  <Override PartName="/xl/drawings/drawing13.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drawings/drawing14.xml" ContentType="application/vnd.openxmlformats-officedocument.drawing+xml"/>
  <Override PartName="/xl/charts/chart16.xml" ContentType="application/vnd.openxmlformats-officedocument.drawingml.chart+xml"/>
  <Override PartName="/xl/drawings/drawing15.xml" ContentType="application/vnd.openxmlformats-officedocument.drawing+xml"/>
  <Override PartName="/xl/comments2.xml" ContentType="application/vnd.openxmlformats-officedocument.spreadsheetml.comments+xml"/>
  <Override PartName="/xl/charts/chart17.xml" ContentType="application/vnd.openxmlformats-officedocument.drawingml.chart+xml"/>
  <Override PartName="/xl/drawings/drawing16.xml" ContentType="application/vnd.openxmlformats-officedocument.drawingml.chartshapes+xml"/>
  <Override PartName="/xl/drawings/drawing17.xml" ContentType="application/vnd.openxmlformats-officedocument.drawing+xml"/>
  <Override PartName="/xl/charts/chart18.xml" ContentType="application/vnd.openxmlformats-officedocument.drawingml.chart+xml"/>
  <Override PartName="/xl/drawings/drawing18.xml" ContentType="application/vnd.openxmlformats-officedocument.drawing+xml"/>
  <Override PartName="/xl/charts/chart19.xml" ContentType="application/vnd.openxmlformats-officedocument.drawingml.chart+xml"/>
  <Override PartName="/xl/drawings/drawing19.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SMAF\"/>
    </mc:Choice>
  </mc:AlternateContent>
  <bookViews>
    <workbookView xWindow="990" yWindow="1940" windowWidth="13130" windowHeight="6660" tabRatio="767" activeTab="3"/>
  </bookViews>
  <sheets>
    <sheet name="Changes from Jan 2012" sheetId="21" r:id="rId1"/>
    <sheet name="CROP FACTORS" sheetId="24" r:id="rId2"/>
    <sheet name="FactorClasses" sheetId="13" r:id="rId3"/>
    <sheet name="SQIndex" sheetId="23" r:id="rId4"/>
    <sheet name="AGG" sheetId="2" r:id="rId5"/>
    <sheet name="AWC" sheetId="3" r:id="rId6"/>
    <sheet name="BD" sheetId="4" r:id="rId7"/>
    <sheet name="BG" sheetId="15" r:id="rId8"/>
    <sheet name="EC" sheetId="5" r:id="rId9"/>
    <sheet name="EX-K" sheetId="17" r:id="rId10"/>
    <sheet name="MBC" sheetId="6" r:id="rId11"/>
    <sheet name="pH" sheetId="7" r:id="rId12"/>
    <sheet name="PMN" sheetId="8" r:id="rId13"/>
    <sheet name="soilP" sheetId="10" r:id="rId14"/>
    <sheet name="SAR" sheetId="11" r:id="rId15"/>
    <sheet name="SOC" sheetId="14" r:id="rId16"/>
    <sheet name="WFPS" sheetId="16" r:id="rId17"/>
  </sheets>
  <definedNames>
    <definedName name="_xlnm.Print_Area" localSheetId="1">'CROP FACTORS'!$A$1:$U$142</definedName>
    <definedName name="_xlnm.Print_Area" localSheetId="3">SQIndex!$B$2:$EI$10</definedName>
    <definedName name="_xlnm.Print_Area" localSheetId="16">WFPS!$A$1:$L$70</definedName>
  </definedNames>
  <calcPr calcId="152511"/>
</workbook>
</file>

<file path=xl/calcChain.xml><?xml version="1.0" encoding="utf-8"?>
<calcChain xmlns="http://schemas.openxmlformats.org/spreadsheetml/2006/main">
  <c r="CL12" i="23" l="1"/>
  <c r="CL13" i="23"/>
  <c r="CL14" i="23"/>
  <c r="CL15" i="23"/>
  <c r="CL16" i="23"/>
  <c r="CL17" i="23"/>
  <c r="CL18" i="23"/>
  <c r="CL19" i="23"/>
  <c r="CL20" i="23"/>
  <c r="CL21" i="23"/>
  <c r="CL22" i="23"/>
  <c r="CL23" i="23"/>
  <c r="CL24" i="23"/>
  <c r="CL25" i="23"/>
  <c r="CL26" i="23"/>
  <c r="CL27" i="23"/>
  <c r="CL28" i="23"/>
  <c r="CL29" i="23"/>
  <c r="CL30" i="23"/>
  <c r="CL31" i="23"/>
  <c r="CL32" i="23"/>
  <c r="CL33" i="23"/>
  <c r="CL34" i="23"/>
  <c r="CL35" i="23"/>
  <c r="CL36" i="23"/>
  <c r="CL37" i="23"/>
  <c r="CL38" i="23"/>
  <c r="CL39" i="23"/>
  <c r="CL40" i="23"/>
  <c r="CL41" i="23"/>
  <c r="CL42" i="23"/>
  <c r="CL43" i="23"/>
  <c r="CL44" i="23"/>
  <c r="CL45" i="23"/>
  <c r="CL46" i="23"/>
  <c r="CL47" i="23"/>
  <c r="CL48" i="23"/>
  <c r="CL49" i="23"/>
  <c r="CL50" i="23"/>
  <c r="CL51" i="23"/>
  <c r="CL52" i="23"/>
  <c r="CL53" i="23"/>
  <c r="CL54" i="23"/>
  <c r="CL55" i="23"/>
  <c r="CL56" i="23"/>
  <c r="CL57" i="23"/>
  <c r="CL58" i="23"/>
  <c r="CL59" i="23"/>
  <c r="CL60" i="23"/>
  <c r="CL61" i="23"/>
  <c r="CL62" i="23"/>
  <c r="CL63" i="23"/>
  <c r="CL64" i="23"/>
  <c r="CL65" i="23"/>
  <c r="CL66" i="23"/>
  <c r="CL67" i="23"/>
  <c r="CL68" i="23"/>
  <c r="CL69" i="23"/>
  <c r="CL70" i="23"/>
  <c r="CL71" i="23"/>
  <c r="CL72" i="23"/>
  <c r="CL73" i="23"/>
  <c r="CL74" i="23"/>
  <c r="CL75" i="23"/>
  <c r="CL76" i="23"/>
  <c r="CL77" i="23"/>
  <c r="CL78" i="23"/>
  <c r="CL79" i="23"/>
  <c r="CL80" i="23"/>
  <c r="CL81" i="23"/>
  <c r="CL82" i="23"/>
  <c r="CL83" i="23"/>
  <c r="CL84" i="23"/>
  <c r="CL85" i="23"/>
  <c r="CL86" i="23"/>
  <c r="CL87" i="23"/>
  <c r="CL88" i="23"/>
  <c r="CL89" i="23"/>
  <c r="CL90" i="23"/>
  <c r="CL91" i="23"/>
  <c r="CL11" i="23"/>
  <c r="CM11" i="23"/>
  <c r="CM12" i="23"/>
  <c r="CM13" i="23"/>
  <c r="CM14" i="23"/>
  <c r="CM15" i="23"/>
  <c r="CM16" i="23"/>
  <c r="CM17" i="23"/>
  <c r="CM18" i="23"/>
  <c r="CM19" i="23"/>
  <c r="CM20" i="23"/>
  <c r="CM21" i="23"/>
  <c r="CM22" i="23"/>
  <c r="CM23" i="23"/>
  <c r="CM24" i="23"/>
  <c r="CM25" i="23"/>
  <c r="CM26" i="23"/>
  <c r="CM27" i="23"/>
  <c r="CM28" i="23"/>
  <c r="CM29" i="23"/>
  <c r="CM30" i="23"/>
  <c r="CM31" i="23"/>
  <c r="CM32" i="23"/>
  <c r="CM33" i="23"/>
  <c r="CM34" i="23"/>
  <c r="CM35" i="23"/>
  <c r="CM36" i="23"/>
  <c r="CM37" i="23"/>
  <c r="CM38" i="23"/>
  <c r="CM39" i="23"/>
  <c r="CM40" i="23"/>
  <c r="CM41" i="23"/>
  <c r="CM42" i="23"/>
  <c r="CM43" i="23"/>
  <c r="CM44" i="23"/>
  <c r="CM45" i="23"/>
  <c r="CM46" i="23"/>
  <c r="CM47" i="23"/>
  <c r="CM48" i="23"/>
  <c r="CM49" i="23"/>
  <c r="CM50" i="23"/>
  <c r="CM51" i="23"/>
  <c r="CM52" i="23"/>
  <c r="CM53" i="23"/>
  <c r="CM54" i="23"/>
  <c r="CM55" i="23"/>
  <c r="CM56" i="23"/>
  <c r="CM57" i="23"/>
  <c r="CM58" i="23"/>
  <c r="CM59" i="23"/>
  <c r="CM60" i="23"/>
  <c r="CM61" i="23"/>
  <c r="CM62" i="23"/>
  <c r="CM63" i="23"/>
  <c r="CM64" i="23"/>
  <c r="CM65" i="23"/>
  <c r="CM66" i="23"/>
  <c r="CM67" i="23"/>
  <c r="CM68" i="23"/>
  <c r="CM69" i="23"/>
  <c r="CM70" i="23"/>
  <c r="CM71" i="23"/>
  <c r="CM72" i="23"/>
  <c r="CM73" i="23"/>
  <c r="CM74" i="23"/>
  <c r="CM75" i="23"/>
  <c r="CM76" i="23"/>
  <c r="CM77" i="23"/>
  <c r="CM78" i="23"/>
  <c r="CM79" i="23"/>
  <c r="CM80" i="23"/>
  <c r="CM81" i="23"/>
  <c r="CM82" i="23"/>
  <c r="CM83" i="23"/>
  <c r="CM84" i="23"/>
  <c r="CM85" i="23"/>
  <c r="CM86" i="23"/>
  <c r="CM87" i="23"/>
  <c r="CM88" i="23"/>
  <c r="CM89" i="23"/>
  <c r="CM90" i="23"/>
  <c r="CM91" i="23"/>
  <c r="BX20" i="23"/>
  <c r="BY20" i="23" s="1"/>
  <c r="BY28" i="23"/>
  <c r="CJ14" i="23" l="1"/>
  <c r="CJ15" i="23"/>
  <c r="CJ16" i="23"/>
  <c r="CJ22" i="23"/>
  <c r="CJ23" i="23"/>
  <c r="CJ24" i="23"/>
  <c r="CJ28" i="23"/>
  <c r="CJ32" i="23"/>
  <c r="CJ34" i="23"/>
  <c r="CJ36" i="23"/>
  <c r="CJ38" i="23"/>
  <c r="CJ39" i="23"/>
  <c r="CJ44" i="23"/>
  <c r="CJ46" i="23"/>
  <c r="CJ52" i="23"/>
  <c r="CJ54" i="23"/>
  <c r="CJ55" i="23"/>
  <c r="CJ60" i="23"/>
  <c r="CJ62" i="23"/>
  <c r="CJ63" i="23"/>
  <c r="CJ64" i="23"/>
  <c r="CJ70" i="23"/>
  <c r="CJ76" i="23"/>
  <c r="CJ78" i="23"/>
  <c r="CJ79" i="23"/>
  <c r="CJ80" i="23"/>
  <c r="CJ88" i="23"/>
  <c r="CJ40" i="23"/>
  <c r="CJ42" i="23"/>
  <c r="CJ43" i="23"/>
  <c r="CJ50" i="23"/>
  <c r="CJ51" i="23"/>
  <c r="CJ58" i="23"/>
  <c r="CJ66" i="23"/>
  <c r="CJ67" i="23"/>
  <c r="CJ75" i="23"/>
  <c r="CJ82" i="23"/>
  <c r="CJ83" i="23"/>
  <c r="CJ84" i="23"/>
  <c r="CJ90" i="23"/>
  <c r="CJ91" i="23"/>
  <c r="CJ12" i="23"/>
  <c r="CJ17" i="23"/>
  <c r="CJ30" i="23"/>
  <c r="CJ31" i="23"/>
  <c r="CJ47" i="23"/>
  <c r="CJ48" i="23"/>
  <c r="CJ68" i="23"/>
  <c r="CJ71" i="23"/>
  <c r="CJ72" i="23"/>
  <c r="CJ56" i="23"/>
  <c r="CJ86" i="23"/>
  <c r="CJ87" i="23"/>
  <c r="CJ20" i="23"/>
  <c r="CJ29" i="23"/>
  <c r="CJ37" i="23"/>
  <c r="CJ45" i="23"/>
  <c r="CJ53" i="23"/>
  <c r="CJ61" i="23"/>
  <c r="CJ73" i="23"/>
  <c r="CJ77" i="23"/>
  <c r="CJ85" i="23"/>
  <c r="CJ13" i="23"/>
  <c r="CJ21" i="23"/>
  <c r="CJ69" i="23"/>
  <c r="CJ89" i="23"/>
  <c r="CJ26" i="23"/>
  <c r="CJ33" i="23"/>
  <c r="CJ35" i="23"/>
  <c r="CJ49" i="23"/>
  <c r="CJ57" i="23"/>
  <c r="CJ65" i="23"/>
  <c r="CJ74" i="23"/>
  <c r="CJ81" i="23"/>
  <c r="CJ41" i="23"/>
  <c r="CJ19" i="23"/>
  <c r="AV12" i="23"/>
  <c r="AW12" i="23"/>
  <c r="AX12" i="23"/>
  <c r="AY12" i="23"/>
  <c r="BA12" i="23"/>
  <c r="BB12" i="23"/>
  <c r="BC12" i="23"/>
  <c r="BD12" i="23"/>
  <c r="BF12" i="23"/>
  <c r="DV12" i="23" s="1"/>
  <c r="BG12" i="23"/>
  <c r="BH12" i="23"/>
  <c r="BJ12" i="23"/>
  <c r="BK12" i="23"/>
  <c r="BL12" i="23"/>
  <c r="BM12" i="23"/>
  <c r="BO12" i="23"/>
  <c r="BP12" i="23"/>
  <c r="BQ12" i="23"/>
  <c r="BR12" i="23"/>
  <c r="BT12" i="23"/>
  <c r="BU12" i="23"/>
  <c r="BV12" i="23"/>
  <c r="BX12" i="23"/>
  <c r="BY12" i="23" s="1"/>
  <c r="BZ12" i="23"/>
  <c r="CA12" i="23"/>
  <c r="CD12" i="23"/>
  <c r="CE12" i="23"/>
  <c r="CF12" i="23"/>
  <c r="CG12" i="23"/>
  <c r="CK12" i="23"/>
  <c r="CN12" i="23"/>
  <c r="CS12" i="23"/>
  <c r="CT12" i="23"/>
  <c r="CU12" i="23"/>
  <c r="CV12" i="23"/>
  <c r="CW12" i="23"/>
  <c r="CX12" i="23"/>
  <c r="CY12" i="23"/>
  <c r="DA12" i="23"/>
  <c r="DF12" i="23" s="1"/>
  <c r="DG12" i="23" s="1"/>
  <c r="DB12" i="23"/>
  <c r="DC12" i="23" s="1"/>
  <c r="DD12" i="23"/>
  <c r="DE12" i="23"/>
  <c r="DH12" i="23"/>
  <c r="DI12" i="23" s="1"/>
  <c r="DJ12" i="23"/>
  <c r="DK12" i="23"/>
  <c r="DL12" i="23"/>
  <c r="DM12" i="23"/>
  <c r="DQ12" i="23"/>
  <c r="DR12" i="23"/>
  <c r="DS12" i="23"/>
  <c r="AV13" i="23"/>
  <c r="AW13" i="23"/>
  <c r="AX13" i="23"/>
  <c r="AY13" i="23"/>
  <c r="BA13" i="23"/>
  <c r="BB13" i="23"/>
  <c r="BC13" i="23"/>
  <c r="BD13" i="23"/>
  <c r="BG13" i="23"/>
  <c r="BH13" i="23"/>
  <c r="BJ13" i="23"/>
  <c r="BK13" i="23"/>
  <c r="BL13" i="23"/>
  <c r="BM13" i="23"/>
  <c r="BO13" i="23"/>
  <c r="BP13" i="23"/>
  <c r="BQ13" i="23"/>
  <c r="BR13" i="23"/>
  <c r="BT13" i="23"/>
  <c r="BU13" i="23"/>
  <c r="BV13" i="23"/>
  <c r="BX13" i="23"/>
  <c r="BY13" i="23" s="1"/>
  <c r="BZ13" i="23"/>
  <c r="CA13" i="23"/>
  <c r="CB13" i="23"/>
  <c r="CD13" i="23"/>
  <c r="CE13" i="23"/>
  <c r="CH13" i="23" s="1"/>
  <c r="CF13" i="23"/>
  <c r="CG13" i="23"/>
  <c r="CI13" i="23" s="1"/>
  <c r="CK13" i="23"/>
  <c r="CN13" i="23"/>
  <c r="CS13" i="23"/>
  <c r="CT13" i="23"/>
  <c r="CU13" i="23"/>
  <c r="CV13" i="23"/>
  <c r="CW13" i="23"/>
  <c r="CX13" i="23"/>
  <c r="CY13" i="23"/>
  <c r="DA13" i="23"/>
  <c r="DB13" i="23"/>
  <c r="DC13" i="23" s="1"/>
  <c r="DD13" i="23"/>
  <c r="DE13" i="23"/>
  <c r="DH13" i="23"/>
  <c r="DJ13" i="23"/>
  <c r="DK13" i="23"/>
  <c r="DN13" i="23" s="1"/>
  <c r="DL13" i="23"/>
  <c r="DM13" i="23"/>
  <c r="DQ13" i="23"/>
  <c r="DR13" i="23"/>
  <c r="DS13" i="23"/>
  <c r="AV14" i="23"/>
  <c r="AW14" i="23"/>
  <c r="AX14" i="23"/>
  <c r="AZ14" i="23" s="1"/>
  <c r="DU14" i="23" s="1"/>
  <c r="AY14" i="23"/>
  <c r="BA14" i="23"/>
  <c r="BB14" i="23"/>
  <c r="BC14" i="23"/>
  <c r="BD14" i="23"/>
  <c r="BF14" i="23" s="1"/>
  <c r="DV14" i="23" s="1"/>
  <c r="BG14" i="23"/>
  <c r="BH14" i="23"/>
  <c r="BJ14" i="23"/>
  <c r="BI14" i="23" s="1"/>
  <c r="BK14" i="23"/>
  <c r="BL14" i="23"/>
  <c r="BM14" i="23"/>
  <c r="BO14" i="23"/>
  <c r="BP14" i="23"/>
  <c r="BQ14" i="23"/>
  <c r="BR14" i="23"/>
  <c r="BT14" i="23"/>
  <c r="BU14" i="23"/>
  <c r="BV14" i="23"/>
  <c r="BX14" i="23"/>
  <c r="BY14" i="23" s="1"/>
  <c r="BZ14" i="23"/>
  <c r="CA14" i="23"/>
  <c r="CD14" i="23"/>
  <c r="CE14" i="23"/>
  <c r="CF14" i="23"/>
  <c r="CG14" i="23"/>
  <c r="CK14" i="23"/>
  <c r="CN14" i="23"/>
  <c r="CS14" i="23"/>
  <c r="CT14" i="23"/>
  <c r="CU14" i="23"/>
  <c r="CV14" i="23"/>
  <c r="CW14" i="23"/>
  <c r="CX14" i="23"/>
  <c r="CY14" i="23"/>
  <c r="DA14" i="23"/>
  <c r="DB14" i="23"/>
  <c r="DC14" i="23" s="1"/>
  <c r="DD14" i="23"/>
  <c r="DE14" i="23"/>
  <c r="DH14" i="23"/>
  <c r="DJ14" i="23"/>
  <c r="DK14" i="23"/>
  <c r="DL14" i="23"/>
  <c r="DM14" i="23"/>
  <c r="DQ14" i="23"/>
  <c r="DR14" i="23"/>
  <c r="DS14" i="23"/>
  <c r="AV15" i="23"/>
  <c r="AW15" i="23"/>
  <c r="AX15" i="23"/>
  <c r="AY15" i="23"/>
  <c r="BA15" i="23"/>
  <c r="BB15" i="23"/>
  <c r="BC15" i="23"/>
  <c r="BD15" i="23"/>
  <c r="BF15" i="23" s="1"/>
  <c r="DV15" i="23" s="1"/>
  <c r="BG15" i="23"/>
  <c r="BH15" i="23"/>
  <c r="BJ15" i="23"/>
  <c r="BI15" i="23" s="1"/>
  <c r="BK15" i="23"/>
  <c r="BL15" i="23"/>
  <c r="BM15" i="23"/>
  <c r="BO15" i="23"/>
  <c r="BP15" i="23"/>
  <c r="BQ15" i="23"/>
  <c r="BR15" i="23"/>
  <c r="BT15" i="23"/>
  <c r="BU15" i="23"/>
  <c r="BV15" i="23"/>
  <c r="BX15" i="23"/>
  <c r="BY15" i="23" s="1"/>
  <c r="BZ15" i="23"/>
  <c r="CA15" i="23"/>
  <c r="CD15" i="23"/>
  <c r="CE15" i="23"/>
  <c r="CI15" i="23" s="1"/>
  <c r="CF15" i="23"/>
  <c r="CG15" i="23"/>
  <c r="CK15" i="23"/>
  <c r="CN15" i="23"/>
  <c r="CS15" i="23"/>
  <c r="CT15" i="23"/>
  <c r="CU15" i="23"/>
  <c r="CV15" i="23"/>
  <c r="CW15" i="23"/>
  <c r="CX15" i="23"/>
  <c r="CY15" i="23"/>
  <c r="DA15" i="23"/>
  <c r="DB15" i="23"/>
  <c r="DC15" i="23" s="1"/>
  <c r="DD15" i="23"/>
  <c r="DE15" i="23"/>
  <c r="DI15" i="23" s="1"/>
  <c r="DH15" i="23"/>
  <c r="DJ15" i="23"/>
  <c r="DK15" i="23"/>
  <c r="DL15" i="23"/>
  <c r="DM15" i="23"/>
  <c r="DQ15" i="23"/>
  <c r="DR15" i="23"/>
  <c r="DS15" i="23"/>
  <c r="AV16" i="23"/>
  <c r="AW16" i="23"/>
  <c r="AX16" i="23"/>
  <c r="AY16" i="23"/>
  <c r="BA16" i="23"/>
  <c r="BB16" i="23"/>
  <c r="BC16" i="23"/>
  <c r="BD16" i="23"/>
  <c r="BG16" i="23"/>
  <c r="BH16" i="23"/>
  <c r="BJ16" i="23"/>
  <c r="BK16" i="23"/>
  <c r="BL16" i="23"/>
  <c r="BM16" i="23"/>
  <c r="BO16" i="23"/>
  <c r="BP16" i="23"/>
  <c r="BQ16" i="23"/>
  <c r="BR16" i="23"/>
  <c r="BT16" i="23"/>
  <c r="BU16" i="23"/>
  <c r="BV16" i="23"/>
  <c r="BX16" i="23"/>
  <c r="BY16" i="23" s="1"/>
  <c r="BZ16" i="23"/>
  <c r="CA16" i="23"/>
  <c r="CD16" i="23"/>
  <c r="CE16" i="23"/>
  <c r="CF16" i="23"/>
  <c r="CG16" i="23"/>
  <c r="CK16" i="23"/>
  <c r="CN16" i="23"/>
  <c r="CS16" i="23"/>
  <c r="CT16" i="23"/>
  <c r="CU16" i="23"/>
  <c r="CV16" i="23"/>
  <c r="CW16" i="23"/>
  <c r="CX16" i="23"/>
  <c r="CY16" i="23"/>
  <c r="DA16" i="23"/>
  <c r="DB16" i="23"/>
  <c r="DC16" i="23" s="1"/>
  <c r="DD16" i="23"/>
  <c r="DE16" i="23"/>
  <c r="DH16" i="23"/>
  <c r="DJ16" i="23"/>
  <c r="DK16" i="23"/>
  <c r="DL16" i="23"/>
  <c r="DM16" i="23"/>
  <c r="DQ16" i="23"/>
  <c r="DR16" i="23"/>
  <c r="DT16" i="23" s="1"/>
  <c r="EF16" i="23" s="1"/>
  <c r="DS16" i="23"/>
  <c r="AV17" i="23"/>
  <c r="AW17" i="23"/>
  <c r="AX17" i="23"/>
  <c r="AZ17" i="23" s="1"/>
  <c r="DU17" i="23" s="1"/>
  <c r="AY17" i="23"/>
  <c r="BA17" i="23"/>
  <c r="BB17" i="23"/>
  <c r="BC17" i="23"/>
  <c r="BD17" i="23"/>
  <c r="BF17" i="23" s="1"/>
  <c r="BG17" i="23"/>
  <c r="BH17" i="23"/>
  <c r="BI17" i="23"/>
  <c r="BJ17" i="23"/>
  <c r="BK17" i="23"/>
  <c r="BL17" i="23"/>
  <c r="BM17" i="23"/>
  <c r="BO17" i="23"/>
  <c r="BP17" i="23"/>
  <c r="BQ17" i="23"/>
  <c r="BR17" i="23"/>
  <c r="BT17" i="23"/>
  <c r="BU17" i="23"/>
  <c r="BV17" i="23"/>
  <c r="BX17" i="23"/>
  <c r="BY17" i="23" s="1"/>
  <c r="BZ17" i="23"/>
  <c r="CA17" i="23"/>
  <c r="CD17" i="23"/>
  <c r="CE17" i="23"/>
  <c r="CF17" i="23"/>
  <c r="CG17" i="23"/>
  <c r="CK17" i="23"/>
  <c r="CN17" i="23"/>
  <c r="CS17" i="23"/>
  <c r="CT17" i="23"/>
  <c r="CU17" i="23"/>
  <c r="CV17" i="23"/>
  <c r="CW17" i="23"/>
  <c r="CX17" i="23"/>
  <c r="CY17" i="23"/>
  <c r="DA17" i="23"/>
  <c r="DB17" i="23"/>
  <c r="DC17" i="23" s="1"/>
  <c r="DD17" i="23"/>
  <c r="DE17" i="23"/>
  <c r="DH17" i="23"/>
  <c r="DJ17" i="23"/>
  <c r="DK17" i="23"/>
  <c r="DL17" i="23"/>
  <c r="DM17" i="23"/>
  <c r="DQ17" i="23"/>
  <c r="DR17" i="23"/>
  <c r="DS17" i="23"/>
  <c r="DV17" i="23"/>
  <c r="AV18" i="23"/>
  <c r="AW18" i="23"/>
  <c r="AX18" i="23"/>
  <c r="AY18" i="23"/>
  <c r="BA18" i="23"/>
  <c r="BB18" i="23"/>
  <c r="BC18" i="23"/>
  <c r="BD18" i="23"/>
  <c r="BG18" i="23"/>
  <c r="BH18" i="23"/>
  <c r="BJ18" i="23"/>
  <c r="BK18" i="23"/>
  <c r="BL18" i="23"/>
  <c r="BM18" i="23"/>
  <c r="BO18" i="23"/>
  <c r="BP18" i="23"/>
  <c r="BQ18" i="23"/>
  <c r="BR18" i="23"/>
  <c r="BT18" i="23"/>
  <c r="BU18" i="23"/>
  <c r="BV18" i="23"/>
  <c r="BX18" i="23"/>
  <c r="BY18" i="23" s="1"/>
  <c r="BZ18" i="23"/>
  <c r="CA18" i="23"/>
  <c r="CD18" i="23"/>
  <c r="CE18" i="23"/>
  <c r="CF18" i="23"/>
  <c r="CG18" i="23"/>
  <c r="CK18" i="23"/>
  <c r="CJ18" i="23"/>
  <c r="CN18" i="23"/>
  <c r="CS18" i="23"/>
  <c r="CT18" i="23"/>
  <c r="CU18" i="23"/>
  <c r="CV18" i="23"/>
  <c r="CW18" i="23"/>
  <c r="CX18" i="23"/>
  <c r="CY18" i="23"/>
  <c r="DA18" i="23"/>
  <c r="DB18" i="23"/>
  <c r="DC18" i="23" s="1"/>
  <c r="DD18" i="23"/>
  <c r="DE18" i="23"/>
  <c r="DH18" i="23"/>
  <c r="DJ18" i="23"/>
  <c r="DK18" i="23"/>
  <c r="DL18" i="23"/>
  <c r="DM18" i="23"/>
  <c r="DN18" i="23"/>
  <c r="DQ18" i="23"/>
  <c r="DR18" i="23"/>
  <c r="DS18" i="23"/>
  <c r="AV19" i="23"/>
  <c r="AW19" i="23"/>
  <c r="AX19" i="23"/>
  <c r="AY19" i="23"/>
  <c r="AZ19" i="23" s="1"/>
  <c r="DU19" i="23" s="1"/>
  <c r="BA19" i="23"/>
  <c r="BB19" i="23"/>
  <c r="BC19" i="23"/>
  <c r="BD19" i="23"/>
  <c r="BF19" i="23" s="1"/>
  <c r="DV19" i="23" s="1"/>
  <c r="BG19" i="23"/>
  <c r="BH19" i="23"/>
  <c r="BJ19" i="23"/>
  <c r="BK19" i="23"/>
  <c r="BL19" i="23"/>
  <c r="BM19" i="23"/>
  <c r="BO19" i="23"/>
  <c r="BP19" i="23"/>
  <c r="BQ19" i="23"/>
  <c r="BR19" i="23"/>
  <c r="BT19" i="23"/>
  <c r="BU19" i="23"/>
  <c r="BV19" i="23"/>
  <c r="BX19" i="23"/>
  <c r="BY19" i="23" s="1"/>
  <c r="BZ19" i="23"/>
  <c r="CA19" i="23"/>
  <c r="CD19" i="23"/>
  <c r="CE19" i="23"/>
  <c r="CF19" i="23"/>
  <c r="CG19" i="23"/>
  <c r="CK19" i="23"/>
  <c r="CN19" i="23"/>
  <c r="CS19" i="23"/>
  <c r="CT19" i="23"/>
  <c r="CU19" i="23"/>
  <c r="CV19" i="23"/>
  <c r="CW19" i="23"/>
  <c r="CX19" i="23"/>
  <c r="CY19" i="23"/>
  <c r="DA19" i="23"/>
  <c r="DB19" i="23"/>
  <c r="DC19" i="23" s="1"/>
  <c r="DD19" i="23"/>
  <c r="DE19" i="23"/>
  <c r="DH19" i="23"/>
  <c r="DJ19" i="23"/>
  <c r="DK19" i="23"/>
  <c r="DN19" i="23" s="1"/>
  <c r="DL19" i="23"/>
  <c r="DM19" i="23"/>
  <c r="DQ19" i="23"/>
  <c r="DR19" i="23"/>
  <c r="DS19" i="23"/>
  <c r="AV20" i="23"/>
  <c r="AW20" i="23"/>
  <c r="AX20" i="23"/>
  <c r="AY20" i="23"/>
  <c r="BA20" i="23"/>
  <c r="BB20" i="23"/>
  <c r="BC20" i="23"/>
  <c r="BD20" i="23"/>
  <c r="BF20" i="23" s="1"/>
  <c r="DV20" i="23" s="1"/>
  <c r="BG20" i="23"/>
  <c r="BH20" i="23"/>
  <c r="BJ20" i="23"/>
  <c r="BI20" i="23" s="1"/>
  <c r="BK20" i="23"/>
  <c r="BL20" i="23"/>
  <c r="BM20" i="23"/>
  <c r="BO20" i="23"/>
  <c r="BP20" i="23"/>
  <c r="BQ20" i="23"/>
  <c r="BR20" i="23"/>
  <c r="BT20" i="23"/>
  <c r="BU20" i="23"/>
  <c r="BV20" i="23"/>
  <c r="BZ20" i="23"/>
  <c r="CA20" i="23"/>
  <c r="CC20" i="23" s="1"/>
  <c r="CD20" i="23"/>
  <c r="CE20" i="23"/>
  <c r="CF20" i="23"/>
  <c r="CG20" i="23"/>
  <c r="CK20" i="23"/>
  <c r="CN20" i="23"/>
  <c r="CS20" i="23"/>
  <c r="CT20" i="23"/>
  <c r="CU20" i="23"/>
  <c r="CV20" i="23"/>
  <c r="CW20" i="23"/>
  <c r="CX20" i="23"/>
  <c r="CY20" i="23"/>
  <c r="DA20" i="23"/>
  <c r="DB20" i="23"/>
  <c r="DC20" i="23" s="1"/>
  <c r="DD20" i="23"/>
  <c r="DE20" i="23"/>
  <c r="DH20" i="23"/>
  <c r="DI20" i="23" s="1"/>
  <c r="DJ20" i="23"/>
  <c r="DK20" i="23"/>
  <c r="DL20" i="23"/>
  <c r="DM20" i="23"/>
  <c r="DQ20" i="23"/>
  <c r="DR20" i="23"/>
  <c r="DS20" i="23"/>
  <c r="AV21" i="23"/>
  <c r="AW21" i="23"/>
  <c r="AX21" i="23"/>
  <c r="AY21" i="23"/>
  <c r="BA21" i="23"/>
  <c r="BB21" i="23"/>
  <c r="BC21" i="23"/>
  <c r="BD21" i="23"/>
  <c r="BF21" i="23" s="1"/>
  <c r="DV21" i="23" s="1"/>
  <c r="BG21" i="23"/>
  <c r="BH21" i="23"/>
  <c r="BJ21" i="23"/>
  <c r="BK21" i="23"/>
  <c r="BL21" i="23"/>
  <c r="BM21" i="23"/>
  <c r="BO21" i="23"/>
  <c r="BP21" i="23"/>
  <c r="BQ21" i="23"/>
  <c r="BR21" i="23"/>
  <c r="BT21" i="23"/>
  <c r="BU21" i="23"/>
  <c r="BV21" i="23"/>
  <c r="BX21" i="23"/>
  <c r="BY21" i="23" s="1"/>
  <c r="BZ21" i="23"/>
  <c r="CA21" i="23"/>
  <c r="CD21" i="23"/>
  <c r="CE21" i="23"/>
  <c r="CF21" i="23"/>
  <c r="CI21" i="23" s="1"/>
  <c r="CG21" i="23"/>
  <c r="CK21" i="23"/>
  <c r="CN21" i="23"/>
  <c r="CS21" i="23"/>
  <c r="CT21" i="23"/>
  <c r="CU21" i="23"/>
  <c r="CV21" i="23"/>
  <c r="CW21" i="23"/>
  <c r="CX21" i="23"/>
  <c r="CY21" i="23"/>
  <c r="DA21" i="23"/>
  <c r="DB21" i="23"/>
  <c r="DC21" i="23" s="1"/>
  <c r="DD21" i="23"/>
  <c r="DE21" i="23"/>
  <c r="DH21" i="23"/>
  <c r="DJ21" i="23"/>
  <c r="DK21" i="23"/>
  <c r="DN21" i="23" s="1"/>
  <c r="DL21" i="23"/>
  <c r="DM21" i="23"/>
  <c r="DQ21" i="23"/>
  <c r="DR21" i="23"/>
  <c r="DS21" i="23"/>
  <c r="AV22" i="23"/>
  <c r="AW22" i="23"/>
  <c r="AX22" i="23"/>
  <c r="AY22" i="23"/>
  <c r="CH22" i="23" s="1"/>
  <c r="BA22" i="23"/>
  <c r="BB22" i="23"/>
  <c r="BC22" i="23"/>
  <c r="BD22" i="23"/>
  <c r="BG22" i="23"/>
  <c r="BH22" i="23"/>
  <c r="BJ22" i="23"/>
  <c r="BK22" i="23"/>
  <c r="BL22" i="23"/>
  <c r="BM22" i="23"/>
  <c r="BO22" i="23"/>
  <c r="BP22" i="23"/>
  <c r="BQ22" i="23"/>
  <c r="BR22" i="23"/>
  <c r="BT22" i="23"/>
  <c r="BU22" i="23"/>
  <c r="BV22" i="23"/>
  <c r="BX22" i="23"/>
  <c r="BY22" i="23" s="1"/>
  <c r="BZ22" i="23"/>
  <c r="CA22" i="23"/>
  <c r="CD22" i="23"/>
  <c r="CE22" i="23"/>
  <c r="CF22" i="23"/>
  <c r="CG22" i="23"/>
  <c r="CK22" i="23"/>
  <c r="CN22" i="23"/>
  <c r="CS22" i="23"/>
  <c r="CT22" i="23"/>
  <c r="CZ22" i="23" s="1"/>
  <c r="EB22" i="23" s="1"/>
  <c r="CU22" i="23"/>
  <c r="CV22" i="23"/>
  <c r="CW22" i="23"/>
  <c r="CX22" i="23"/>
  <c r="CY22" i="23"/>
  <c r="DA22" i="23"/>
  <c r="DB22" i="23"/>
  <c r="DC22" i="23" s="1"/>
  <c r="DD22" i="23"/>
  <c r="DE22" i="23"/>
  <c r="DH22" i="23"/>
  <c r="DJ22" i="23"/>
  <c r="DK22" i="23"/>
  <c r="DN22" i="23" s="1"/>
  <c r="DL22" i="23"/>
  <c r="DM22" i="23"/>
  <c r="DQ22" i="23"/>
  <c r="DR22" i="23"/>
  <c r="DS22" i="23"/>
  <c r="AV23" i="23"/>
  <c r="AW23" i="23"/>
  <c r="AX23" i="23"/>
  <c r="AY23" i="23"/>
  <c r="BA23" i="23"/>
  <c r="BB23" i="23"/>
  <c r="BC23" i="23"/>
  <c r="BE23" i="23" s="1"/>
  <c r="BD23" i="23"/>
  <c r="BF23" i="23" s="1"/>
  <c r="DV23" i="23" s="1"/>
  <c r="BG23" i="23"/>
  <c r="BH23" i="23"/>
  <c r="BJ23" i="23"/>
  <c r="BK23" i="23"/>
  <c r="BL23" i="23"/>
  <c r="BM23" i="23"/>
  <c r="BO23" i="23"/>
  <c r="BP23" i="23"/>
  <c r="BQ23" i="23"/>
  <c r="BR23" i="23"/>
  <c r="BS23" i="23" s="1"/>
  <c r="BT23" i="23"/>
  <c r="BU23" i="23"/>
  <c r="BV23" i="23"/>
  <c r="BX23" i="23"/>
  <c r="BY23" i="23" s="1"/>
  <c r="BZ23" i="23"/>
  <c r="CA23" i="23"/>
  <c r="CD23" i="23"/>
  <c r="CE23" i="23"/>
  <c r="CI23" i="23" s="1"/>
  <c r="CF23" i="23"/>
  <c r="CG23" i="23"/>
  <c r="CK23" i="23"/>
  <c r="CN23" i="23"/>
  <c r="CS23" i="23"/>
  <c r="CT23" i="23"/>
  <c r="CU23" i="23"/>
  <c r="CV23" i="23"/>
  <c r="CW23" i="23"/>
  <c r="CX23" i="23"/>
  <c r="CY23" i="23"/>
  <c r="DA23" i="23"/>
  <c r="DB23" i="23"/>
  <c r="DC23" i="23" s="1"/>
  <c r="DD23" i="23"/>
  <c r="DE23" i="23"/>
  <c r="DH23" i="23"/>
  <c r="DJ23" i="23"/>
  <c r="DK23" i="23"/>
  <c r="DL23" i="23"/>
  <c r="DM23" i="23"/>
  <c r="DQ23" i="23"/>
  <c r="DR23" i="23"/>
  <c r="DS23" i="23"/>
  <c r="AV24" i="23"/>
  <c r="AW24" i="23"/>
  <c r="AX24" i="23"/>
  <c r="AY24" i="23"/>
  <c r="BA24" i="23"/>
  <c r="BB24" i="23"/>
  <c r="BC24" i="23"/>
  <c r="BD24" i="23"/>
  <c r="BG24" i="23"/>
  <c r="BH24" i="23"/>
  <c r="BJ24" i="23"/>
  <c r="BK24" i="23"/>
  <c r="BL24" i="23"/>
  <c r="BM24" i="23"/>
  <c r="BO24" i="23"/>
  <c r="BP24" i="23"/>
  <c r="BQ24" i="23"/>
  <c r="BR24" i="23"/>
  <c r="BT24" i="23"/>
  <c r="BU24" i="23"/>
  <c r="BV24" i="23"/>
  <c r="BX24" i="23"/>
  <c r="BY24" i="23" s="1"/>
  <c r="BZ24" i="23"/>
  <c r="CA24" i="23"/>
  <c r="CD24" i="23"/>
  <c r="CE24" i="23"/>
  <c r="CF24" i="23"/>
  <c r="CG24" i="23"/>
  <c r="CK24" i="23"/>
  <c r="CN24" i="23"/>
  <c r="CS24" i="23"/>
  <c r="CT24" i="23"/>
  <c r="CU24" i="23"/>
  <c r="CV24" i="23"/>
  <c r="CW24" i="23"/>
  <c r="CX24" i="23"/>
  <c r="CY24" i="23"/>
  <c r="DA24" i="23"/>
  <c r="DB24" i="23"/>
  <c r="DC24" i="23" s="1"/>
  <c r="DD24" i="23"/>
  <c r="DE24" i="23"/>
  <c r="DH24" i="23"/>
  <c r="DJ24" i="23"/>
  <c r="DK24" i="23"/>
  <c r="DL24" i="23"/>
  <c r="DM24" i="23"/>
  <c r="DQ24" i="23"/>
  <c r="DR24" i="23"/>
  <c r="DS24" i="23"/>
  <c r="AV25" i="23"/>
  <c r="AW25" i="23"/>
  <c r="AX25" i="23"/>
  <c r="AY25" i="23"/>
  <c r="BA25" i="23"/>
  <c r="BB25" i="23"/>
  <c r="BC25" i="23"/>
  <c r="BD25" i="23"/>
  <c r="BF25" i="23" s="1"/>
  <c r="DV25" i="23" s="1"/>
  <c r="BG25" i="23"/>
  <c r="BH25" i="23"/>
  <c r="BJ25" i="23"/>
  <c r="BK25" i="23"/>
  <c r="BI25" i="23" s="1"/>
  <c r="BL25" i="23"/>
  <c r="BM25" i="23"/>
  <c r="BO25" i="23"/>
  <c r="BP25" i="23"/>
  <c r="BQ25" i="23"/>
  <c r="BR25" i="23"/>
  <c r="BT25" i="23"/>
  <c r="BU25" i="23"/>
  <c r="BV25" i="23"/>
  <c r="BX25" i="23"/>
  <c r="BY25" i="23" s="1"/>
  <c r="BZ25" i="23"/>
  <c r="CA25" i="23"/>
  <c r="CD25" i="23"/>
  <c r="CE25" i="23"/>
  <c r="CF25" i="23"/>
  <c r="CG25" i="23"/>
  <c r="CJ25" i="23"/>
  <c r="CK25" i="23"/>
  <c r="CN25" i="23"/>
  <c r="CS25" i="23"/>
  <c r="CT25" i="23"/>
  <c r="CU25" i="23"/>
  <c r="CV25" i="23"/>
  <c r="CW25" i="23"/>
  <c r="CX25" i="23"/>
  <c r="CY25" i="23"/>
  <c r="DA25" i="23"/>
  <c r="DB25" i="23"/>
  <c r="DC25" i="23" s="1"/>
  <c r="DD25" i="23"/>
  <c r="DE25" i="23"/>
  <c r="DH25" i="23"/>
  <c r="DI25" i="23"/>
  <c r="DJ25" i="23"/>
  <c r="DK25" i="23"/>
  <c r="DL25" i="23"/>
  <c r="DM25" i="23"/>
  <c r="DQ25" i="23"/>
  <c r="DR25" i="23"/>
  <c r="DS25" i="23"/>
  <c r="AV26" i="23"/>
  <c r="AW26" i="23"/>
  <c r="AX26" i="23"/>
  <c r="AY26" i="23"/>
  <c r="BA26" i="23"/>
  <c r="BB26" i="23"/>
  <c r="BC26" i="23"/>
  <c r="BD26" i="23"/>
  <c r="BF26" i="23"/>
  <c r="DV26" i="23" s="1"/>
  <c r="BG26" i="23"/>
  <c r="BH26" i="23"/>
  <c r="BJ26" i="23"/>
  <c r="BK26" i="23"/>
  <c r="BL26" i="23"/>
  <c r="BM26" i="23"/>
  <c r="BO26" i="23"/>
  <c r="BP26" i="23"/>
  <c r="BQ26" i="23"/>
  <c r="BR26" i="23"/>
  <c r="BT26" i="23"/>
  <c r="BU26" i="23"/>
  <c r="BV26" i="23"/>
  <c r="BX26" i="23"/>
  <c r="BY26" i="23" s="1"/>
  <c r="BZ26" i="23"/>
  <c r="CA26" i="23"/>
  <c r="CD26" i="23"/>
  <c r="CE26" i="23"/>
  <c r="CF26" i="23"/>
  <c r="CG26" i="23"/>
  <c r="CK26" i="23"/>
  <c r="CN26" i="23"/>
  <c r="CS26" i="23"/>
  <c r="CT26" i="23"/>
  <c r="CU26" i="23"/>
  <c r="CV26" i="23"/>
  <c r="CW26" i="23"/>
  <c r="CX26" i="23"/>
  <c r="CY26" i="23"/>
  <c r="DA26" i="23"/>
  <c r="DB26" i="23"/>
  <c r="DC26" i="23" s="1"/>
  <c r="DD26" i="23"/>
  <c r="DE26" i="23"/>
  <c r="DH26" i="23"/>
  <c r="DJ26" i="23"/>
  <c r="DK26" i="23"/>
  <c r="DL26" i="23"/>
  <c r="DM26" i="23"/>
  <c r="DQ26" i="23"/>
  <c r="DR26" i="23"/>
  <c r="DS26" i="23"/>
  <c r="AV27" i="23"/>
  <c r="AW27" i="23"/>
  <c r="AX27" i="23"/>
  <c r="AY27" i="23"/>
  <c r="BA27" i="23"/>
  <c r="BB27" i="23"/>
  <c r="BC27" i="23"/>
  <c r="BD27" i="23"/>
  <c r="BF27" i="23" s="1"/>
  <c r="DV27" i="23" s="1"/>
  <c r="BG27" i="23"/>
  <c r="BH27" i="23"/>
  <c r="BJ27" i="23"/>
  <c r="BK27" i="23"/>
  <c r="BL27" i="23"/>
  <c r="BM27" i="23"/>
  <c r="BO27" i="23"/>
  <c r="BP27" i="23"/>
  <c r="BQ27" i="23"/>
  <c r="BR27" i="23"/>
  <c r="BT27" i="23"/>
  <c r="BW27" i="23" s="1"/>
  <c r="DY27" i="23" s="1"/>
  <c r="BU27" i="23"/>
  <c r="BV27" i="23"/>
  <c r="BX27" i="23"/>
  <c r="BY27" i="23" s="1"/>
  <c r="BZ27" i="23"/>
  <c r="CA27" i="23"/>
  <c r="CD27" i="23"/>
  <c r="CE27" i="23"/>
  <c r="CH27" i="23" s="1"/>
  <c r="CF27" i="23"/>
  <c r="CG27" i="23"/>
  <c r="CJ27" i="23"/>
  <c r="CK27" i="23"/>
  <c r="CN27" i="23"/>
  <c r="CS27" i="23"/>
  <c r="CT27" i="23"/>
  <c r="CU27" i="23"/>
  <c r="CV27" i="23"/>
  <c r="CW27" i="23"/>
  <c r="CX27" i="23"/>
  <c r="CY27" i="23"/>
  <c r="DA27" i="23"/>
  <c r="DB27" i="23"/>
  <c r="DC27" i="23" s="1"/>
  <c r="DD27" i="23"/>
  <c r="DE27" i="23"/>
  <c r="DH27" i="23"/>
  <c r="DJ27" i="23"/>
  <c r="DK27" i="23"/>
  <c r="DN27" i="23" s="1"/>
  <c r="DO27" i="23" s="1"/>
  <c r="DP27" i="23" s="1"/>
  <c r="EE27" i="23" s="1"/>
  <c r="DL27" i="23"/>
  <c r="DM27" i="23"/>
  <c r="DQ27" i="23"/>
  <c r="DR27" i="23"/>
  <c r="DS27" i="23"/>
  <c r="AV28" i="23"/>
  <c r="AW28" i="23"/>
  <c r="AX28" i="23"/>
  <c r="AY28" i="23"/>
  <c r="BA28" i="23"/>
  <c r="BB28" i="23"/>
  <c r="BC28" i="23"/>
  <c r="BD28" i="23"/>
  <c r="BG28" i="23"/>
  <c r="BH28" i="23"/>
  <c r="BJ28" i="23"/>
  <c r="BK28" i="23"/>
  <c r="BL28" i="23"/>
  <c r="BM28" i="23"/>
  <c r="BO28" i="23"/>
  <c r="BP28" i="23"/>
  <c r="BQ28" i="23"/>
  <c r="BR28" i="23"/>
  <c r="BT28" i="23"/>
  <c r="BU28" i="23"/>
  <c r="BV28" i="23"/>
  <c r="BZ28" i="23"/>
  <c r="CC28" i="23" s="1"/>
  <c r="CA28" i="23"/>
  <c r="CD28" i="23"/>
  <c r="CE28" i="23"/>
  <c r="CF28" i="23"/>
  <c r="CG28" i="23"/>
  <c r="CK28" i="23"/>
  <c r="CN28" i="23"/>
  <c r="CS28" i="23"/>
  <c r="CT28" i="23"/>
  <c r="CU28" i="23"/>
  <c r="CV28" i="23"/>
  <c r="CW28" i="23"/>
  <c r="CX28" i="23"/>
  <c r="CY28" i="23"/>
  <c r="DA28" i="23"/>
  <c r="DF28" i="23" s="1"/>
  <c r="DG28" i="23" s="1"/>
  <c r="DB28" i="23"/>
  <c r="DC28" i="23" s="1"/>
  <c r="DD28" i="23"/>
  <c r="DE28" i="23"/>
  <c r="DH28" i="23"/>
  <c r="DI28" i="23" s="1"/>
  <c r="DJ28" i="23"/>
  <c r="DK28" i="23"/>
  <c r="DL28" i="23"/>
  <c r="DM28" i="23"/>
  <c r="DQ28" i="23"/>
  <c r="DT28" i="23" s="1"/>
  <c r="EF28" i="23" s="1"/>
  <c r="DR28" i="23"/>
  <c r="DS28" i="23"/>
  <c r="AV29" i="23"/>
  <c r="AW29" i="23"/>
  <c r="AX29" i="23"/>
  <c r="AY29" i="23"/>
  <c r="BA29" i="23"/>
  <c r="BB29" i="23"/>
  <c r="BC29" i="23"/>
  <c r="BD29" i="23"/>
  <c r="BF29" i="23" s="1"/>
  <c r="DV29" i="23" s="1"/>
  <c r="BG29" i="23"/>
  <c r="BH29" i="23"/>
  <c r="BJ29" i="23"/>
  <c r="BK29" i="23"/>
  <c r="BL29" i="23"/>
  <c r="BM29" i="23"/>
  <c r="BO29" i="23"/>
  <c r="BP29" i="23"/>
  <c r="BQ29" i="23"/>
  <c r="BR29" i="23"/>
  <c r="BT29" i="23"/>
  <c r="BU29" i="23"/>
  <c r="BV29" i="23"/>
  <c r="BX29" i="23"/>
  <c r="BY29" i="23" s="1"/>
  <c r="BZ29" i="23"/>
  <c r="CA29" i="23"/>
  <c r="CD29" i="23"/>
  <c r="CE29" i="23"/>
  <c r="CF29" i="23"/>
  <c r="CG29" i="23"/>
  <c r="CK29" i="23"/>
  <c r="CN29" i="23"/>
  <c r="CS29" i="23"/>
  <c r="CT29" i="23"/>
  <c r="CU29" i="23"/>
  <c r="CV29" i="23"/>
  <c r="CW29" i="23"/>
  <c r="CX29" i="23"/>
  <c r="CY29" i="23"/>
  <c r="DA29" i="23"/>
  <c r="DB29" i="23"/>
  <c r="DC29" i="23" s="1"/>
  <c r="DD29" i="23"/>
  <c r="DE29" i="23"/>
  <c r="DH29" i="23"/>
  <c r="DJ29" i="23"/>
  <c r="DK29" i="23"/>
  <c r="DL29" i="23"/>
  <c r="DN29" i="23" s="1"/>
  <c r="DO29" i="23" s="1"/>
  <c r="DP29" i="23" s="1"/>
  <c r="EE29" i="23" s="1"/>
  <c r="DM29" i="23"/>
  <c r="DQ29" i="23"/>
  <c r="DR29" i="23"/>
  <c r="DS29" i="23"/>
  <c r="AV30" i="23"/>
  <c r="AW30" i="23"/>
  <c r="AX30" i="23"/>
  <c r="AY30" i="23"/>
  <c r="BA30" i="23"/>
  <c r="BB30" i="23"/>
  <c r="BC30" i="23"/>
  <c r="BD30" i="23"/>
  <c r="BF30" i="23"/>
  <c r="BG30" i="23"/>
  <c r="BH30" i="23"/>
  <c r="BJ30" i="23"/>
  <c r="BK30" i="23"/>
  <c r="BL30" i="23"/>
  <c r="BM30" i="23"/>
  <c r="BO30" i="23"/>
  <c r="BP30" i="23"/>
  <c r="BQ30" i="23"/>
  <c r="BR30" i="23"/>
  <c r="BT30" i="23"/>
  <c r="BU30" i="23"/>
  <c r="BV30" i="23"/>
  <c r="BX30" i="23"/>
  <c r="BY30" i="23" s="1"/>
  <c r="BZ30" i="23"/>
  <c r="CA30" i="23"/>
  <c r="CD30" i="23"/>
  <c r="CE30" i="23"/>
  <c r="CF30" i="23"/>
  <c r="CG30" i="23"/>
  <c r="CK30" i="23"/>
  <c r="CN30" i="23"/>
  <c r="CS30" i="23"/>
  <c r="CT30" i="23"/>
  <c r="CU30" i="23"/>
  <c r="CV30" i="23"/>
  <c r="CW30" i="23"/>
  <c r="CX30" i="23"/>
  <c r="CY30" i="23"/>
  <c r="DA30" i="23"/>
  <c r="DB30" i="23"/>
  <c r="DC30" i="23" s="1"/>
  <c r="DD30" i="23"/>
  <c r="DE30" i="23"/>
  <c r="DH30" i="23"/>
  <c r="DJ30" i="23"/>
  <c r="DK30" i="23"/>
  <c r="DL30" i="23"/>
  <c r="DM30" i="23"/>
  <c r="DQ30" i="23"/>
  <c r="DR30" i="23"/>
  <c r="DS30" i="23"/>
  <c r="DV30" i="23"/>
  <c r="AV31" i="23"/>
  <c r="AW31" i="23"/>
  <c r="AX31" i="23"/>
  <c r="AY31" i="23"/>
  <c r="BA31" i="23"/>
  <c r="BB31" i="23"/>
  <c r="BC31" i="23"/>
  <c r="BD31" i="23"/>
  <c r="BG31" i="23"/>
  <c r="BH31" i="23"/>
  <c r="BJ31" i="23"/>
  <c r="BK31" i="23"/>
  <c r="BL31" i="23"/>
  <c r="BM31" i="23"/>
  <c r="BO31" i="23"/>
  <c r="BP31" i="23"/>
  <c r="BQ31" i="23"/>
  <c r="BR31" i="23"/>
  <c r="BT31" i="23"/>
  <c r="BU31" i="23"/>
  <c r="BV31" i="23"/>
  <c r="BX31" i="23"/>
  <c r="BY31" i="23" s="1"/>
  <c r="BZ31" i="23"/>
  <c r="CA31" i="23"/>
  <c r="CD31" i="23"/>
  <c r="CE31" i="23"/>
  <c r="CF31" i="23"/>
  <c r="CG31" i="23"/>
  <c r="CK31" i="23"/>
  <c r="CN31" i="23"/>
  <c r="CS31" i="23"/>
  <c r="CT31" i="23"/>
  <c r="CU31" i="23"/>
  <c r="CV31" i="23"/>
  <c r="CW31" i="23"/>
  <c r="CX31" i="23"/>
  <c r="CY31" i="23"/>
  <c r="DA31" i="23"/>
  <c r="DB31" i="23"/>
  <c r="DC31" i="23" s="1"/>
  <c r="DD31" i="23"/>
  <c r="DE31" i="23"/>
  <c r="DH31" i="23"/>
  <c r="DJ31" i="23"/>
  <c r="DK31" i="23"/>
  <c r="DL31" i="23"/>
  <c r="DM31" i="23"/>
  <c r="DQ31" i="23"/>
  <c r="DR31" i="23"/>
  <c r="DS31" i="23"/>
  <c r="AV32" i="23"/>
  <c r="AW32" i="23"/>
  <c r="AX32" i="23"/>
  <c r="AY32" i="23"/>
  <c r="BA32" i="23"/>
  <c r="BB32" i="23"/>
  <c r="BC32" i="23"/>
  <c r="BD32" i="23"/>
  <c r="BG32" i="23"/>
  <c r="BH32" i="23"/>
  <c r="BJ32" i="23"/>
  <c r="BI32" i="23" s="1"/>
  <c r="BK32" i="23"/>
  <c r="BL32" i="23"/>
  <c r="BM32" i="23"/>
  <c r="BO32" i="23"/>
  <c r="BP32" i="23"/>
  <c r="BQ32" i="23"/>
  <c r="BR32" i="23"/>
  <c r="BT32" i="23"/>
  <c r="BU32" i="23"/>
  <c r="BV32" i="23"/>
  <c r="BX32" i="23"/>
  <c r="BY32" i="23" s="1"/>
  <c r="CB32" i="23" s="1"/>
  <c r="BZ32" i="23"/>
  <c r="CA32" i="23"/>
  <c r="CD32" i="23"/>
  <c r="CE32" i="23"/>
  <c r="CF32" i="23"/>
  <c r="CG32" i="23"/>
  <c r="CK32" i="23"/>
  <c r="CN32" i="23"/>
  <c r="CS32" i="23"/>
  <c r="CT32" i="23"/>
  <c r="CU32" i="23"/>
  <c r="CV32" i="23"/>
  <c r="CW32" i="23"/>
  <c r="CX32" i="23"/>
  <c r="CY32" i="23"/>
  <c r="DA32" i="23"/>
  <c r="DB32" i="23"/>
  <c r="DC32" i="23" s="1"/>
  <c r="DD32" i="23"/>
  <c r="DE32" i="23"/>
  <c r="DH32" i="23"/>
  <c r="DJ32" i="23"/>
  <c r="DK32" i="23"/>
  <c r="DL32" i="23"/>
  <c r="DM32" i="23"/>
  <c r="DQ32" i="23"/>
  <c r="DR32" i="23"/>
  <c r="DS32" i="23"/>
  <c r="AV33" i="23"/>
  <c r="AW33" i="23"/>
  <c r="AX33" i="23"/>
  <c r="AY33" i="23"/>
  <c r="BA33" i="23"/>
  <c r="BB33" i="23"/>
  <c r="BC33" i="23"/>
  <c r="BD33" i="23"/>
  <c r="BF33" i="23" s="1"/>
  <c r="DV33" i="23" s="1"/>
  <c r="BG33" i="23"/>
  <c r="BH33" i="23"/>
  <c r="BJ33" i="23"/>
  <c r="BI33" i="23" s="1"/>
  <c r="BK33" i="23"/>
  <c r="BL33" i="23"/>
  <c r="BM33" i="23"/>
  <c r="BO33" i="23"/>
  <c r="BP33" i="23"/>
  <c r="BQ33" i="23"/>
  <c r="BR33" i="23"/>
  <c r="BT33" i="23"/>
  <c r="BU33" i="23"/>
  <c r="BV33" i="23"/>
  <c r="BX33" i="23"/>
  <c r="BY33" i="23" s="1"/>
  <c r="BZ33" i="23"/>
  <c r="CA33" i="23"/>
  <c r="CD33" i="23"/>
  <c r="CE33" i="23"/>
  <c r="CF33" i="23"/>
  <c r="CG33" i="23"/>
  <c r="CK33" i="23"/>
  <c r="CN33" i="23"/>
  <c r="CS33" i="23"/>
  <c r="CT33" i="23"/>
  <c r="CU33" i="23"/>
  <c r="CV33" i="23"/>
  <c r="CW33" i="23"/>
  <c r="CX33" i="23"/>
  <c r="CY33" i="23"/>
  <c r="DA33" i="23"/>
  <c r="DB33" i="23"/>
  <c r="DC33" i="23" s="1"/>
  <c r="DD33" i="23"/>
  <c r="DE33" i="23"/>
  <c r="DI33" i="23" s="1"/>
  <c r="DH33" i="23"/>
  <c r="DJ33" i="23"/>
  <c r="DK33" i="23"/>
  <c r="DL33" i="23"/>
  <c r="DM33" i="23"/>
  <c r="DQ33" i="23"/>
  <c r="DR33" i="23"/>
  <c r="DS33" i="23"/>
  <c r="AV34" i="23"/>
  <c r="AW34" i="23"/>
  <c r="AX34" i="23"/>
  <c r="AY34" i="23"/>
  <c r="BA34" i="23"/>
  <c r="BB34" i="23"/>
  <c r="BC34" i="23"/>
  <c r="BD34" i="23"/>
  <c r="BG34" i="23"/>
  <c r="BH34" i="23"/>
  <c r="BJ34" i="23"/>
  <c r="BK34" i="23"/>
  <c r="BL34" i="23"/>
  <c r="BM34" i="23"/>
  <c r="BO34" i="23"/>
  <c r="BP34" i="23"/>
  <c r="BQ34" i="23"/>
  <c r="BR34" i="23"/>
  <c r="BT34" i="23"/>
  <c r="BU34" i="23"/>
  <c r="BV34" i="23"/>
  <c r="BX34" i="23"/>
  <c r="BY34" i="23" s="1"/>
  <c r="BZ34" i="23"/>
  <c r="CA34" i="23"/>
  <c r="CD34" i="23"/>
  <c r="CE34" i="23"/>
  <c r="CF34" i="23"/>
  <c r="CG34" i="23"/>
  <c r="CK34" i="23"/>
  <c r="CN34" i="23"/>
  <c r="CS34" i="23"/>
  <c r="CT34" i="23"/>
  <c r="CU34" i="23"/>
  <c r="CV34" i="23"/>
  <c r="CW34" i="23"/>
  <c r="CX34" i="23"/>
  <c r="CY34" i="23"/>
  <c r="DA34" i="23"/>
  <c r="DB34" i="23"/>
  <c r="DC34" i="23" s="1"/>
  <c r="DD34" i="23"/>
  <c r="DE34" i="23"/>
  <c r="DH34" i="23"/>
  <c r="DJ34" i="23"/>
  <c r="DK34" i="23"/>
  <c r="DN34" i="23" s="1"/>
  <c r="DL34" i="23"/>
  <c r="DM34" i="23"/>
  <c r="DQ34" i="23"/>
  <c r="DR34" i="23"/>
  <c r="DS34" i="23"/>
  <c r="AV35" i="23"/>
  <c r="AW35" i="23"/>
  <c r="AX35" i="23"/>
  <c r="AY35" i="23"/>
  <c r="BA35" i="23"/>
  <c r="BB35" i="23"/>
  <c r="BC35" i="23"/>
  <c r="BD35" i="23"/>
  <c r="BF35" i="23" s="1"/>
  <c r="BG35" i="23"/>
  <c r="BH35" i="23"/>
  <c r="BJ35" i="23"/>
  <c r="BI35" i="23" s="1"/>
  <c r="BK35" i="23"/>
  <c r="BL35" i="23"/>
  <c r="BM35" i="23"/>
  <c r="BO35" i="23"/>
  <c r="BP35" i="23"/>
  <c r="BQ35" i="23"/>
  <c r="BR35" i="23"/>
  <c r="BT35" i="23"/>
  <c r="BU35" i="23"/>
  <c r="BV35" i="23"/>
  <c r="BX35" i="23"/>
  <c r="BY35" i="23" s="1"/>
  <c r="BZ35" i="23"/>
  <c r="CA35" i="23"/>
  <c r="CD35" i="23"/>
  <c r="CE35" i="23"/>
  <c r="CF35" i="23"/>
  <c r="CG35" i="23"/>
  <c r="CI35" i="23"/>
  <c r="CK35" i="23"/>
  <c r="CN35" i="23"/>
  <c r="CS35" i="23"/>
  <c r="CT35" i="23"/>
  <c r="CU35" i="23"/>
  <c r="CV35" i="23"/>
  <c r="CW35" i="23"/>
  <c r="CX35" i="23"/>
  <c r="CY35" i="23"/>
  <c r="DA35" i="23"/>
  <c r="DB35" i="23"/>
  <c r="DC35" i="23" s="1"/>
  <c r="DD35" i="23"/>
  <c r="DE35" i="23"/>
  <c r="DH35" i="23"/>
  <c r="DJ35" i="23"/>
  <c r="DK35" i="23"/>
  <c r="DN35" i="23" s="1"/>
  <c r="DO35" i="23" s="1"/>
  <c r="DP35" i="23" s="1"/>
  <c r="EE35" i="23" s="1"/>
  <c r="DL35" i="23"/>
  <c r="DM35" i="23"/>
  <c r="DQ35" i="23"/>
  <c r="DR35" i="23"/>
  <c r="DS35" i="23"/>
  <c r="DV35" i="23"/>
  <c r="AV36" i="23"/>
  <c r="AW36" i="23"/>
  <c r="AX36" i="23"/>
  <c r="AY36" i="23"/>
  <c r="BA36" i="23"/>
  <c r="BB36" i="23"/>
  <c r="BC36" i="23"/>
  <c r="BD36" i="23"/>
  <c r="BG36" i="23"/>
  <c r="BH36" i="23"/>
  <c r="BJ36" i="23"/>
  <c r="BK36" i="23"/>
  <c r="BL36" i="23"/>
  <c r="BM36" i="23"/>
  <c r="BO36" i="23"/>
  <c r="BP36" i="23"/>
  <c r="BQ36" i="23"/>
  <c r="BR36" i="23"/>
  <c r="BT36" i="23"/>
  <c r="BU36" i="23"/>
  <c r="BV36" i="23"/>
  <c r="BX36" i="23"/>
  <c r="BY36" i="23" s="1"/>
  <c r="BZ36" i="23"/>
  <c r="CA36" i="23"/>
  <c r="CD36" i="23"/>
  <c r="CE36" i="23"/>
  <c r="CF36" i="23"/>
  <c r="CG36" i="23"/>
  <c r="CK36" i="23"/>
  <c r="CN36" i="23"/>
  <c r="CS36" i="23"/>
  <c r="CT36" i="23"/>
  <c r="CU36" i="23"/>
  <c r="CV36" i="23"/>
  <c r="CW36" i="23"/>
  <c r="CX36" i="23"/>
  <c r="CY36" i="23"/>
  <c r="DA36" i="23"/>
  <c r="DB36" i="23"/>
  <c r="DC36" i="23" s="1"/>
  <c r="DD36" i="23"/>
  <c r="DE36" i="23"/>
  <c r="DH36" i="23"/>
  <c r="DJ36" i="23"/>
  <c r="DK36" i="23"/>
  <c r="DL36" i="23"/>
  <c r="DM36" i="23"/>
  <c r="DQ36" i="23"/>
  <c r="DR36" i="23"/>
  <c r="DS36" i="23"/>
  <c r="DT36" i="23" s="1"/>
  <c r="EF36" i="23" s="1"/>
  <c r="AV37" i="23"/>
  <c r="AW37" i="23"/>
  <c r="AX37" i="23"/>
  <c r="AY37" i="23"/>
  <c r="BA37" i="23"/>
  <c r="BB37" i="23"/>
  <c r="BC37" i="23"/>
  <c r="BD37" i="23"/>
  <c r="BF37" i="23" s="1"/>
  <c r="DV37" i="23" s="1"/>
  <c r="BG37" i="23"/>
  <c r="BH37" i="23"/>
  <c r="BJ37" i="23"/>
  <c r="BK37" i="23"/>
  <c r="BL37" i="23"/>
  <c r="BM37" i="23"/>
  <c r="BO37" i="23"/>
  <c r="BP37" i="23"/>
  <c r="BQ37" i="23"/>
  <c r="BR37" i="23"/>
  <c r="BT37" i="23"/>
  <c r="BU37" i="23"/>
  <c r="BV37" i="23"/>
  <c r="BX37" i="23"/>
  <c r="BY37" i="23" s="1"/>
  <c r="BZ37" i="23"/>
  <c r="CA37" i="23"/>
  <c r="CD37" i="23"/>
  <c r="CE37" i="23"/>
  <c r="CF37" i="23"/>
  <c r="CG37" i="23"/>
  <c r="CK37" i="23"/>
  <c r="CN37" i="23"/>
  <c r="CS37" i="23"/>
  <c r="CT37" i="23"/>
  <c r="CU37" i="23"/>
  <c r="CV37" i="23"/>
  <c r="CW37" i="23"/>
  <c r="CX37" i="23"/>
  <c r="CY37" i="23"/>
  <c r="DA37" i="23"/>
  <c r="DB37" i="23"/>
  <c r="DC37" i="23" s="1"/>
  <c r="DD37" i="23"/>
  <c r="DE37" i="23"/>
  <c r="DH37" i="23"/>
  <c r="DJ37" i="23"/>
  <c r="DK37" i="23"/>
  <c r="DL37" i="23"/>
  <c r="DM37" i="23"/>
  <c r="DQ37" i="23"/>
  <c r="DR37" i="23"/>
  <c r="DS37" i="23"/>
  <c r="AV38" i="23"/>
  <c r="AW38" i="23"/>
  <c r="AX38" i="23"/>
  <c r="AY38" i="23"/>
  <c r="BA38" i="23"/>
  <c r="BB38" i="23"/>
  <c r="BC38" i="23"/>
  <c r="BD38" i="23"/>
  <c r="BG38" i="23"/>
  <c r="BH38" i="23"/>
  <c r="BJ38" i="23"/>
  <c r="BI38" i="23" s="1"/>
  <c r="BK38" i="23"/>
  <c r="BL38" i="23"/>
  <c r="BM38" i="23"/>
  <c r="BN38" i="23"/>
  <c r="DW38" i="23" s="1"/>
  <c r="BO38" i="23"/>
  <c r="BP38" i="23"/>
  <c r="BQ38" i="23"/>
  <c r="BR38" i="23"/>
  <c r="BT38" i="23"/>
  <c r="BU38" i="23"/>
  <c r="BV38" i="23"/>
  <c r="BX38" i="23"/>
  <c r="BY38" i="23" s="1"/>
  <c r="BZ38" i="23"/>
  <c r="CA38" i="23"/>
  <c r="CD38" i="23"/>
  <c r="CE38" i="23"/>
  <c r="CH38" i="23" s="1"/>
  <c r="CF38" i="23"/>
  <c r="CG38" i="23"/>
  <c r="CK38" i="23"/>
  <c r="CN38" i="23"/>
  <c r="CS38" i="23"/>
  <c r="CT38" i="23"/>
  <c r="CU38" i="23"/>
  <c r="CV38" i="23"/>
  <c r="CW38" i="23"/>
  <c r="CX38" i="23"/>
  <c r="CY38" i="23"/>
  <c r="DA38" i="23"/>
  <c r="DB38" i="23"/>
  <c r="DC38" i="23" s="1"/>
  <c r="DD38" i="23"/>
  <c r="DE38" i="23"/>
  <c r="DH38" i="23"/>
  <c r="DJ38" i="23"/>
  <c r="DK38" i="23"/>
  <c r="DL38" i="23"/>
  <c r="DM38" i="23"/>
  <c r="DQ38" i="23"/>
  <c r="DR38" i="23"/>
  <c r="DS38" i="23"/>
  <c r="AV39" i="23"/>
  <c r="AW39" i="23"/>
  <c r="AX39" i="23"/>
  <c r="AY39" i="23"/>
  <c r="BA39" i="23"/>
  <c r="BB39" i="23"/>
  <c r="BC39" i="23"/>
  <c r="BD39" i="23"/>
  <c r="BG39" i="23"/>
  <c r="BH39" i="23"/>
  <c r="BJ39" i="23"/>
  <c r="BK39" i="23"/>
  <c r="BL39" i="23"/>
  <c r="BM39" i="23"/>
  <c r="BO39" i="23"/>
  <c r="BP39" i="23"/>
  <c r="BQ39" i="23"/>
  <c r="BR39" i="23"/>
  <c r="BT39" i="23"/>
  <c r="BU39" i="23"/>
  <c r="BV39" i="23"/>
  <c r="BX39" i="23"/>
  <c r="BY39" i="23" s="1"/>
  <c r="BZ39" i="23"/>
  <c r="CA39" i="23"/>
  <c r="CD39" i="23"/>
  <c r="CE39" i="23"/>
  <c r="CF39" i="23"/>
  <c r="CG39" i="23"/>
  <c r="CK39" i="23"/>
  <c r="CN39" i="23"/>
  <c r="CS39" i="23"/>
  <c r="CT39" i="23"/>
  <c r="CU39" i="23"/>
  <c r="CV39" i="23"/>
  <c r="CW39" i="23"/>
  <c r="CX39" i="23"/>
  <c r="CY39" i="23"/>
  <c r="DA39" i="23"/>
  <c r="DB39" i="23"/>
  <c r="DC39" i="23" s="1"/>
  <c r="DD39" i="23"/>
  <c r="DE39" i="23"/>
  <c r="DH39" i="23"/>
  <c r="DJ39" i="23"/>
  <c r="DK39" i="23"/>
  <c r="DL39" i="23"/>
  <c r="DM39" i="23"/>
  <c r="DQ39" i="23"/>
  <c r="DR39" i="23"/>
  <c r="DS39" i="23"/>
  <c r="AV40" i="23"/>
  <c r="AW40" i="23"/>
  <c r="AX40" i="23"/>
  <c r="AY40" i="23"/>
  <c r="BA40" i="23"/>
  <c r="BB40" i="23"/>
  <c r="BC40" i="23"/>
  <c r="BD40" i="23"/>
  <c r="BG40" i="23"/>
  <c r="BH40" i="23"/>
  <c r="BJ40" i="23"/>
  <c r="BK40" i="23"/>
  <c r="BL40" i="23"/>
  <c r="BM40" i="23"/>
  <c r="BO40" i="23"/>
  <c r="BP40" i="23"/>
  <c r="BQ40" i="23"/>
  <c r="BR40" i="23"/>
  <c r="BT40" i="23"/>
  <c r="BU40" i="23"/>
  <c r="BV40" i="23"/>
  <c r="BX40" i="23"/>
  <c r="BZ40" i="23"/>
  <c r="CA40" i="23"/>
  <c r="CD40" i="23"/>
  <c r="CE40" i="23"/>
  <c r="CF40" i="23"/>
  <c r="CG40" i="23"/>
  <c r="CK40" i="23"/>
  <c r="CN40" i="23"/>
  <c r="CS40" i="23"/>
  <c r="CT40" i="23"/>
  <c r="CU40" i="23"/>
  <c r="CV40" i="23"/>
  <c r="CW40" i="23"/>
  <c r="CX40" i="23"/>
  <c r="CY40" i="23"/>
  <c r="DA40" i="23"/>
  <c r="DB40" i="23"/>
  <c r="DC40" i="23" s="1"/>
  <c r="DD40" i="23"/>
  <c r="DE40" i="23"/>
  <c r="DH40" i="23"/>
  <c r="DJ40" i="23"/>
  <c r="DK40" i="23"/>
  <c r="DN40" i="23" s="1"/>
  <c r="DL40" i="23"/>
  <c r="DM40" i="23"/>
  <c r="DQ40" i="23"/>
  <c r="DR40" i="23"/>
  <c r="DS40" i="23"/>
  <c r="AV41" i="23"/>
  <c r="AW41" i="23"/>
  <c r="AZ41" i="23" s="1"/>
  <c r="DU41" i="23" s="1"/>
  <c r="AX41" i="23"/>
  <c r="AY41" i="23"/>
  <c r="BA41" i="23"/>
  <c r="BB41" i="23"/>
  <c r="BC41" i="23"/>
  <c r="BD41" i="23"/>
  <c r="BG41" i="23"/>
  <c r="BH41" i="23"/>
  <c r="BJ41" i="23"/>
  <c r="BI41" i="23" s="1"/>
  <c r="BK41" i="23"/>
  <c r="BL41" i="23"/>
  <c r="BM41" i="23"/>
  <c r="BO41" i="23"/>
  <c r="BP41" i="23"/>
  <c r="BQ41" i="23"/>
  <c r="BR41" i="23"/>
  <c r="BT41" i="23"/>
  <c r="BU41" i="23"/>
  <c r="BV41" i="23"/>
  <c r="BX41" i="23"/>
  <c r="BY41" i="23" s="1"/>
  <c r="BZ41" i="23"/>
  <c r="CA41" i="23"/>
  <c r="CD41" i="23"/>
  <c r="CE41" i="23"/>
  <c r="CF41" i="23"/>
  <c r="CG41" i="23"/>
  <c r="CK41" i="23"/>
  <c r="CN41" i="23"/>
  <c r="CS41" i="23"/>
  <c r="CT41" i="23"/>
  <c r="CU41" i="23"/>
  <c r="CV41" i="23"/>
  <c r="CW41" i="23"/>
  <c r="CX41" i="23"/>
  <c r="CY41" i="23"/>
  <c r="DA41" i="23"/>
  <c r="DB41" i="23"/>
  <c r="DC41" i="23" s="1"/>
  <c r="DD41" i="23"/>
  <c r="DE41" i="23"/>
  <c r="DH41" i="23"/>
  <c r="DJ41" i="23"/>
  <c r="DK41" i="23"/>
  <c r="DL41" i="23"/>
  <c r="DM41" i="23"/>
  <c r="DQ41" i="23"/>
  <c r="DR41" i="23"/>
  <c r="DS41" i="23"/>
  <c r="AV42" i="23"/>
  <c r="AW42" i="23"/>
  <c r="AX42" i="23"/>
  <c r="AY42" i="23"/>
  <c r="BA42" i="23"/>
  <c r="BB42" i="23"/>
  <c r="BC42" i="23"/>
  <c r="BD42" i="23"/>
  <c r="BF42" i="23" s="1"/>
  <c r="DV42" i="23" s="1"/>
  <c r="BG42" i="23"/>
  <c r="BH42" i="23"/>
  <c r="BJ42" i="23"/>
  <c r="BK42" i="23"/>
  <c r="BL42" i="23"/>
  <c r="BM42" i="23"/>
  <c r="BO42" i="23"/>
  <c r="BP42" i="23"/>
  <c r="BQ42" i="23"/>
  <c r="BR42" i="23"/>
  <c r="BT42" i="23"/>
  <c r="BU42" i="23"/>
  <c r="BV42" i="23"/>
  <c r="BX42" i="23"/>
  <c r="BY42" i="23" s="1"/>
  <c r="BZ42" i="23"/>
  <c r="CA42" i="23"/>
  <c r="CD42" i="23"/>
  <c r="CE42" i="23"/>
  <c r="CF42" i="23"/>
  <c r="CG42" i="23"/>
  <c r="CK42" i="23"/>
  <c r="CN42" i="23"/>
  <c r="CS42" i="23"/>
  <c r="CZ42" i="23" s="1"/>
  <c r="EB42" i="23" s="1"/>
  <c r="CT42" i="23"/>
  <c r="CU42" i="23"/>
  <c r="CV42" i="23"/>
  <c r="CW42" i="23"/>
  <c r="CX42" i="23"/>
  <c r="CY42" i="23"/>
  <c r="DA42" i="23"/>
  <c r="DB42" i="23"/>
  <c r="DC42" i="23" s="1"/>
  <c r="DD42" i="23"/>
  <c r="DE42" i="23"/>
  <c r="DH42" i="23"/>
  <c r="DJ42" i="23"/>
  <c r="DK42" i="23"/>
  <c r="DL42" i="23"/>
  <c r="DM42" i="23"/>
  <c r="DQ42" i="23"/>
  <c r="DR42" i="23"/>
  <c r="DS42" i="23"/>
  <c r="AV43" i="23"/>
  <c r="AW43" i="23"/>
  <c r="AX43" i="23"/>
  <c r="AY43" i="23"/>
  <c r="BA43" i="23"/>
  <c r="BB43" i="23"/>
  <c r="BC43" i="23"/>
  <c r="BD43" i="23"/>
  <c r="BF43" i="23" s="1"/>
  <c r="DV43" i="23" s="1"/>
  <c r="BG43" i="23"/>
  <c r="BH43" i="23"/>
  <c r="BJ43" i="23"/>
  <c r="BK43" i="23"/>
  <c r="BL43" i="23"/>
  <c r="BM43" i="23"/>
  <c r="BO43" i="23"/>
  <c r="BP43" i="23"/>
  <c r="BQ43" i="23"/>
  <c r="BR43" i="23"/>
  <c r="BT43" i="23"/>
  <c r="BU43" i="23"/>
  <c r="BV43" i="23"/>
  <c r="BX43" i="23"/>
  <c r="BY43" i="23" s="1"/>
  <c r="BZ43" i="23"/>
  <c r="CA43" i="23"/>
  <c r="CD43" i="23"/>
  <c r="CE43" i="23"/>
  <c r="CF43" i="23"/>
  <c r="CG43" i="23"/>
  <c r="CK43" i="23"/>
  <c r="CN43" i="23"/>
  <c r="CS43" i="23"/>
  <c r="CT43" i="23"/>
  <c r="CU43" i="23"/>
  <c r="CV43" i="23"/>
  <c r="CW43" i="23"/>
  <c r="CX43" i="23"/>
  <c r="CY43" i="23"/>
  <c r="DA43" i="23"/>
  <c r="DB43" i="23"/>
  <c r="DC43" i="23" s="1"/>
  <c r="DD43" i="23"/>
  <c r="DE43" i="23"/>
  <c r="DH43" i="23"/>
  <c r="DJ43" i="23"/>
  <c r="DK43" i="23"/>
  <c r="DL43" i="23"/>
  <c r="DM43" i="23"/>
  <c r="DQ43" i="23"/>
  <c r="DR43" i="23"/>
  <c r="DS43" i="23"/>
  <c r="AV44" i="23"/>
  <c r="AW44" i="23"/>
  <c r="AX44" i="23"/>
  <c r="AY44" i="23"/>
  <c r="BA44" i="23"/>
  <c r="BB44" i="23"/>
  <c r="BC44" i="23"/>
  <c r="BD44" i="23"/>
  <c r="BG44" i="23"/>
  <c r="BH44" i="23"/>
  <c r="BJ44" i="23"/>
  <c r="BK44" i="23"/>
  <c r="BL44" i="23"/>
  <c r="BM44" i="23"/>
  <c r="BO44" i="23"/>
  <c r="BP44" i="23"/>
  <c r="BQ44" i="23"/>
  <c r="BR44" i="23"/>
  <c r="BT44" i="23"/>
  <c r="BU44" i="23"/>
  <c r="BV44" i="23"/>
  <c r="BX44" i="23"/>
  <c r="BZ44" i="23"/>
  <c r="CA44" i="23"/>
  <c r="CD44" i="23"/>
  <c r="CE44" i="23"/>
  <c r="CF44" i="23"/>
  <c r="CG44" i="23"/>
  <c r="CK44" i="23"/>
  <c r="CN44" i="23"/>
  <c r="CS44" i="23"/>
  <c r="CZ44" i="23" s="1"/>
  <c r="EB44" i="23" s="1"/>
  <c r="CT44" i="23"/>
  <c r="CU44" i="23"/>
  <c r="CV44" i="23"/>
  <c r="CW44" i="23"/>
  <c r="CX44" i="23"/>
  <c r="CY44" i="23"/>
  <c r="DA44" i="23"/>
  <c r="DB44" i="23"/>
  <c r="DC44" i="23" s="1"/>
  <c r="DD44" i="23"/>
  <c r="DE44" i="23"/>
  <c r="DH44" i="23"/>
  <c r="DJ44" i="23"/>
  <c r="DK44" i="23"/>
  <c r="DL44" i="23"/>
  <c r="DM44" i="23"/>
  <c r="DQ44" i="23"/>
  <c r="DR44" i="23"/>
  <c r="DT44" i="23" s="1"/>
  <c r="EF44" i="23" s="1"/>
  <c r="DS44" i="23"/>
  <c r="AV45" i="23"/>
  <c r="AW45" i="23"/>
  <c r="AX45" i="23"/>
  <c r="AY45" i="23"/>
  <c r="BA45" i="23"/>
  <c r="BB45" i="23"/>
  <c r="BC45" i="23"/>
  <c r="BD45" i="23"/>
  <c r="BF45" i="23" s="1"/>
  <c r="DV45" i="23" s="1"/>
  <c r="BG45" i="23"/>
  <c r="BH45" i="23"/>
  <c r="BJ45" i="23"/>
  <c r="BK45" i="23"/>
  <c r="BL45" i="23"/>
  <c r="BM45" i="23"/>
  <c r="BO45" i="23"/>
  <c r="BP45" i="23"/>
  <c r="BQ45" i="23"/>
  <c r="BR45" i="23"/>
  <c r="BT45" i="23"/>
  <c r="BU45" i="23"/>
  <c r="BV45" i="23"/>
  <c r="BX45" i="23"/>
  <c r="BY45" i="23" s="1"/>
  <c r="BZ45" i="23"/>
  <c r="CA45" i="23"/>
  <c r="CD45" i="23"/>
  <c r="CE45" i="23"/>
  <c r="CF45" i="23"/>
  <c r="CG45" i="23"/>
  <c r="CK45" i="23"/>
  <c r="CN45" i="23"/>
  <c r="CS45" i="23"/>
  <c r="CT45" i="23"/>
  <c r="CU45" i="23"/>
  <c r="CV45" i="23"/>
  <c r="CW45" i="23"/>
  <c r="CX45" i="23"/>
  <c r="CY45" i="23"/>
  <c r="DA45" i="23"/>
  <c r="DB45" i="23"/>
  <c r="DC45" i="23" s="1"/>
  <c r="DD45" i="23"/>
  <c r="DE45" i="23"/>
  <c r="DH45" i="23"/>
  <c r="DJ45" i="23"/>
  <c r="DN45" i="23" s="1"/>
  <c r="DK45" i="23"/>
  <c r="DL45" i="23"/>
  <c r="DM45" i="23"/>
  <c r="DO45" i="23"/>
  <c r="DP45" i="23" s="1"/>
  <c r="EE45" i="23" s="1"/>
  <c r="DQ45" i="23"/>
  <c r="DR45" i="23"/>
  <c r="DS45" i="23"/>
  <c r="AV46" i="23"/>
  <c r="AW46" i="23"/>
  <c r="AX46" i="23"/>
  <c r="AY46" i="23"/>
  <c r="BA46" i="23"/>
  <c r="BB46" i="23"/>
  <c r="BC46" i="23"/>
  <c r="BD46" i="23"/>
  <c r="BF46" i="23"/>
  <c r="DV46" i="23" s="1"/>
  <c r="BG46" i="23"/>
  <c r="BH46" i="23"/>
  <c r="BJ46" i="23"/>
  <c r="BK46" i="23"/>
  <c r="BL46" i="23"/>
  <c r="BM46" i="23"/>
  <c r="BO46" i="23"/>
  <c r="BP46" i="23"/>
  <c r="BS46" i="23" s="1"/>
  <c r="BQ46" i="23"/>
  <c r="BR46" i="23"/>
  <c r="BT46" i="23"/>
  <c r="BU46" i="23"/>
  <c r="BV46" i="23"/>
  <c r="BX46" i="23"/>
  <c r="BY46" i="23" s="1"/>
  <c r="BZ46" i="23"/>
  <c r="CA46" i="23"/>
  <c r="CD46" i="23"/>
  <c r="CE46" i="23"/>
  <c r="CF46" i="23"/>
  <c r="CH46" i="23" s="1"/>
  <c r="CG46" i="23"/>
  <c r="CI46" i="23" s="1"/>
  <c r="CK46" i="23"/>
  <c r="CN46" i="23"/>
  <c r="CS46" i="23"/>
  <c r="CT46" i="23"/>
  <c r="CZ46" i="23" s="1"/>
  <c r="EB46" i="23" s="1"/>
  <c r="EJ46" i="23" s="1"/>
  <c r="CU46" i="23"/>
  <c r="CV46" i="23"/>
  <c r="CW46" i="23"/>
  <c r="CX46" i="23"/>
  <c r="CY46" i="23"/>
  <c r="DA46" i="23"/>
  <c r="DB46" i="23"/>
  <c r="DC46" i="23" s="1"/>
  <c r="DD46" i="23"/>
  <c r="DE46" i="23"/>
  <c r="DH46" i="23"/>
  <c r="DJ46" i="23"/>
  <c r="DK46" i="23"/>
  <c r="DL46" i="23"/>
  <c r="DM46" i="23"/>
  <c r="DQ46" i="23"/>
  <c r="DR46" i="23"/>
  <c r="DT46" i="23" s="1"/>
  <c r="EF46" i="23" s="1"/>
  <c r="DS46" i="23"/>
  <c r="AV47" i="23"/>
  <c r="AW47" i="23"/>
  <c r="AX47" i="23"/>
  <c r="AY47" i="23"/>
  <c r="BA47" i="23"/>
  <c r="BB47" i="23"/>
  <c r="BE47" i="23" s="1"/>
  <c r="BC47" i="23"/>
  <c r="BD47" i="23"/>
  <c r="BF47" i="23"/>
  <c r="DV47" i="23" s="1"/>
  <c r="BG47" i="23"/>
  <c r="BH47" i="23"/>
  <c r="BJ47" i="23"/>
  <c r="BK47" i="23"/>
  <c r="BL47" i="23"/>
  <c r="BM47" i="23"/>
  <c r="BO47" i="23"/>
  <c r="BP47" i="23"/>
  <c r="BQ47" i="23"/>
  <c r="BR47" i="23"/>
  <c r="BT47" i="23"/>
  <c r="BU47" i="23"/>
  <c r="BV47" i="23"/>
  <c r="BX47" i="23"/>
  <c r="BY47" i="23" s="1"/>
  <c r="BZ47" i="23"/>
  <c r="CA47" i="23"/>
  <c r="CD47" i="23"/>
  <c r="CE47" i="23"/>
  <c r="CF47" i="23"/>
  <c r="CG47" i="23"/>
  <c r="CK47" i="23"/>
  <c r="CN47" i="23"/>
  <c r="CS47" i="23"/>
  <c r="CT47" i="23"/>
  <c r="CU47" i="23"/>
  <c r="CV47" i="23"/>
  <c r="CW47" i="23"/>
  <c r="CX47" i="23"/>
  <c r="CY47" i="23"/>
  <c r="DA47" i="23"/>
  <c r="DB47" i="23"/>
  <c r="DC47" i="23" s="1"/>
  <c r="DD47" i="23"/>
  <c r="DE47" i="23"/>
  <c r="DI47" i="23" s="1"/>
  <c r="DH47" i="23"/>
  <c r="DJ47" i="23"/>
  <c r="DK47" i="23"/>
  <c r="DL47" i="23"/>
  <c r="DM47" i="23"/>
  <c r="DQ47" i="23"/>
  <c r="DR47" i="23"/>
  <c r="DS47" i="23"/>
  <c r="AV48" i="23"/>
  <c r="AW48" i="23"/>
  <c r="AX48" i="23"/>
  <c r="AY48" i="23"/>
  <c r="BA48" i="23"/>
  <c r="BB48" i="23"/>
  <c r="BC48" i="23"/>
  <c r="BD48" i="23"/>
  <c r="BG48" i="23"/>
  <c r="BH48" i="23"/>
  <c r="BJ48" i="23"/>
  <c r="BK48" i="23"/>
  <c r="BL48" i="23"/>
  <c r="BM48" i="23"/>
  <c r="BO48" i="23"/>
  <c r="BP48" i="23"/>
  <c r="BQ48" i="23"/>
  <c r="BR48" i="23"/>
  <c r="BT48" i="23"/>
  <c r="BU48" i="23"/>
  <c r="BV48" i="23"/>
  <c r="BX48" i="23"/>
  <c r="BY48" i="23" s="1"/>
  <c r="BZ48" i="23"/>
  <c r="CA48" i="23"/>
  <c r="CD48" i="23"/>
  <c r="CE48" i="23"/>
  <c r="CF48" i="23"/>
  <c r="CG48" i="23"/>
  <c r="CK48" i="23"/>
  <c r="CN48" i="23"/>
  <c r="CS48" i="23"/>
  <c r="CT48" i="23"/>
  <c r="CU48" i="23"/>
  <c r="CV48" i="23"/>
  <c r="CW48" i="23"/>
  <c r="CX48" i="23"/>
  <c r="CY48" i="23"/>
  <c r="DA48" i="23"/>
  <c r="DB48" i="23"/>
  <c r="DC48" i="23" s="1"/>
  <c r="DD48" i="23"/>
  <c r="DE48" i="23"/>
  <c r="DH48" i="23"/>
  <c r="DI48" i="23" s="1"/>
  <c r="DJ48" i="23"/>
  <c r="DK48" i="23"/>
  <c r="DL48" i="23"/>
  <c r="DM48" i="23"/>
  <c r="DQ48" i="23"/>
  <c r="DR48" i="23"/>
  <c r="DS48" i="23"/>
  <c r="AV49" i="23"/>
  <c r="AW49" i="23"/>
  <c r="AX49" i="23"/>
  <c r="AY49" i="23"/>
  <c r="BA49" i="23"/>
  <c r="BB49" i="23"/>
  <c r="BC49" i="23"/>
  <c r="BD49" i="23"/>
  <c r="BG49" i="23"/>
  <c r="BH49" i="23"/>
  <c r="BJ49" i="23"/>
  <c r="BI49" i="23" s="1"/>
  <c r="BK49" i="23"/>
  <c r="BL49" i="23"/>
  <c r="BM49" i="23"/>
  <c r="BO49" i="23"/>
  <c r="BP49" i="23"/>
  <c r="BQ49" i="23"/>
  <c r="BR49" i="23"/>
  <c r="BT49" i="23"/>
  <c r="BW49" i="23" s="1"/>
  <c r="DY49" i="23" s="1"/>
  <c r="BU49" i="23"/>
  <c r="BV49" i="23"/>
  <c r="BX49" i="23"/>
  <c r="BY49" i="23" s="1"/>
  <c r="BZ49" i="23"/>
  <c r="CA49" i="23"/>
  <c r="CD49" i="23"/>
  <c r="CE49" i="23"/>
  <c r="CF49" i="23"/>
  <c r="CG49" i="23"/>
  <c r="CK49" i="23"/>
  <c r="CN49" i="23"/>
  <c r="CS49" i="23"/>
  <c r="CZ49" i="23" s="1"/>
  <c r="EB49" i="23" s="1"/>
  <c r="CT49" i="23"/>
  <c r="CU49" i="23"/>
  <c r="CV49" i="23"/>
  <c r="CW49" i="23"/>
  <c r="CX49" i="23"/>
  <c r="CY49" i="23"/>
  <c r="DA49" i="23"/>
  <c r="DB49" i="23"/>
  <c r="DC49" i="23" s="1"/>
  <c r="DD49" i="23"/>
  <c r="DE49" i="23"/>
  <c r="DH49" i="23"/>
  <c r="DJ49" i="23"/>
  <c r="DK49" i="23"/>
  <c r="DL49" i="23"/>
  <c r="DM49" i="23"/>
  <c r="DQ49" i="23"/>
  <c r="DR49" i="23"/>
  <c r="DS49" i="23"/>
  <c r="AV50" i="23"/>
  <c r="AW50" i="23"/>
  <c r="AX50" i="23"/>
  <c r="AY50" i="23"/>
  <c r="BA50" i="23"/>
  <c r="BB50" i="23"/>
  <c r="BC50" i="23"/>
  <c r="BD50" i="23"/>
  <c r="BF50" i="23" s="1"/>
  <c r="DV50" i="23" s="1"/>
  <c r="BG50" i="23"/>
  <c r="BH50" i="23"/>
  <c r="BJ50" i="23"/>
  <c r="BI50" i="23" s="1"/>
  <c r="BK50" i="23"/>
  <c r="BL50" i="23"/>
  <c r="BM50" i="23"/>
  <c r="BO50" i="23"/>
  <c r="BP50" i="23"/>
  <c r="BQ50" i="23"/>
  <c r="BR50" i="23"/>
  <c r="BT50" i="23"/>
  <c r="BU50" i="23"/>
  <c r="BV50" i="23"/>
  <c r="BX50" i="23"/>
  <c r="BY50" i="23" s="1"/>
  <c r="BZ50" i="23"/>
  <c r="CA50" i="23"/>
  <c r="CD50" i="23"/>
  <c r="CE50" i="23"/>
  <c r="CF50" i="23"/>
  <c r="CG50" i="23"/>
  <c r="CK50" i="23"/>
  <c r="CN50" i="23"/>
  <c r="CS50" i="23"/>
  <c r="CT50" i="23"/>
  <c r="CU50" i="23"/>
  <c r="CV50" i="23"/>
  <c r="CW50" i="23"/>
  <c r="CX50" i="23"/>
  <c r="CY50" i="23"/>
  <c r="DA50" i="23"/>
  <c r="DB50" i="23"/>
  <c r="DC50" i="23" s="1"/>
  <c r="DD50" i="23"/>
  <c r="DE50" i="23"/>
  <c r="DH50" i="23"/>
  <c r="DJ50" i="23"/>
  <c r="DK50" i="23"/>
  <c r="DL50" i="23"/>
  <c r="DM50" i="23"/>
  <c r="DQ50" i="23"/>
  <c r="DR50" i="23"/>
  <c r="DS50" i="23"/>
  <c r="AV51" i="23"/>
  <c r="AW51" i="23"/>
  <c r="AX51" i="23"/>
  <c r="AY51" i="23"/>
  <c r="BA51" i="23"/>
  <c r="BB51" i="23"/>
  <c r="BC51" i="23"/>
  <c r="BD51" i="23"/>
  <c r="BF51" i="23" s="1"/>
  <c r="BG51" i="23"/>
  <c r="BH51" i="23"/>
  <c r="BJ51" i="23"/>
  <c r="BK51" i="23"/>
  <c r="BL51" i="23"/>
  <c r="BM51" i="23"/>
  <c r="BO51" i="23"/>
  <c r="BP51" i="23"/>
  <c r="BQ51" i="23"/>
  <c r="BR51" i="23"/>
  <c r="BT51" i="23"/>
  <c r="BU51" i="23"/>
  <c r="BV51" i="23"/>
  <c r="BX51" i="23"/>
  <c r="BY51" i="23" s="1"/>
  <c r="BZ51" i="23"/>
  <c r="CA51" i="23"/>
  <c r="CD51" i="23"/>
  <c r="CE51" i="23"/>
  <c r="CF51" i="23"/>
  <c r="CI51" i="23" s="1"/>
  <c r="CG51" i="23"/>
  <c r="CK51" i="23"/>
  <c r="CN51" i="23"/>
  <c r="CS51" i="23"/>
  <c r="CT51" i="23"/>
  <c r="CU51" i="23"/>
  <c r="CV51" i="23"/>
  <c r="CW51" i="23"/>
  <c r="CX51" i="23"/>
  <c r="CY51" i="23"/>
  <c r="DA51" i="23"/>
  <c r="DB51" i="23"/>
  <c r="DC51" i="23"/>
  <c r="DD51" i="23"/>
  <c r="DE51" i="23"/>
  <c r="DF51" i="23" s="1"/>
  <c r="DG51" i="23" s="1"/>
  <c r="DH51" i="23"/>
  <c r="DJ51" i="23"/>
  <c r="DK51" i="23"/>
  <c r="DL51" i="23"/>
  <c r="DN51" i="23" s="1"/>
  <c r="DO51" i="23" s="1"/>
  <c r="DP51" i="23" s="1"/>
  <c r="EE51" i="23" s="1"/>
  <c r="DM51" i="23"/>
  <c r="DQ51" i="23"/>
  <c r="DR51" i="23"/>
  <c r="DS51" i="23"/>
  <c r="DV51" i="23"/>
  <c r="AV52" i="23"/>
  <c r="AW52" i="23"/>
  <c r="AX52" i="23"/>
  <c r="AY52" i="23"/>
  <c r="BA52" i="23"/>
  <c r="BB52" i="23"/>
  <c r="BC52" i="23"/>
  <c r="BD52" i="23"/>
  <c r="BF52" i="23" s="1"/>
  <c r="DV52" i="23" s="1"/>
  <c r="BG52" i="23"/>
  <c r="BH52" i="23"/>
  <c r="BJ52" i="23"/>
  <c r="BK52" i="23"/>
  <c r="BL52" i="23"/>
  <c r="BM52" i="23"/>
  <c r="BO52" i="23"/>
  <c r="BP52" i="23"/>
  <c r="BQ52" i="23"/>
  <c r="BR52" i="23"/>
  <c r="BT52" i="23"/>
  <c r="BU52" i="23"/>
  <c r="BV52" i="23"/>
  <c r="BX52" i="23"/>
  <c r="BY52" i="23" s="1"/>
  <c r="BZ52" i="23"/>
  <c r="CA52" i="23"/>
  <c r="CD52" i="23"/>
  <c r="CE52" i="23"/>
  <c r="CI52" i="23" s="1"/>
  <c r="CF52" i="23"/>
  <c r="CG52" i="23"/>
  <c r="CK52" i="23"/>
  <c r="CN52" i="23"/>
  <c r="CS52" i="23"/>
  <c r="CT52" i="23"/>
  <c r="CU52" i="23"/>
  <c r="CV52" i="23"/>
  <c r="CW52" i="23"/>
  <c r="CX52" i="23"/>
  <c r="CY52" i="23"/>
  <c r="DA52" i="23"/>
  <c r="DB52" i="23"/>
  <c r="DC52" i="23" s="1"/>
  <c r="DD52" i="23"/>
  <c r="DE52" i="23"/>
  <c r="DH52" i="23"/>
  <c r="DJ52" i="23"/>
  <c r="DK52" i="23"/>
  <c r="DL52" i="23"/>
  <c r="DM52" i="23"/>
  <c r="DQ52" i="23"/>
  <c r="DR52" i="23"/>
  <c r="DT52" i="23" s="1"/>
  <c r="EF52" i="23" s="1"/>
  <c r="DS52" i="23"/>
  <c r="AV53" i="23"/>
  <c r="AW53" i="23"/>
  <c r="AX53" i="23"/>
  <c r="AY53" i="23"/>
  <c r="BA53" i="23"/>
  <c r="BB53" i="23"/>
  <c r="BC53" i="23"/>
  <c r="BD53" i="23"/>
  <c r="BE53" i="23"/>
  <c r="BF53" i="23"/>
  <c r="DV53" i="23" s="1"/>
  <c r="BG53" i="23"/>
  <c r="BH53" i="23"/>
  <c r="BJ53" i="23"/>
  <c r="BK53" i="23"/>
  <c r="BL53" i="23"/>
  <c r="BM53" i="23"/>
  <c r="BO53" i="23"/>
  <c r="BS53" i="23" s="1"/>
  <c r="BP53" i="23"/>
  <c r="BQ53" i="23"/>
  <c r="BR53" i="23"/>
  <c r="BT53" i="23"/>
  <c r="BW53" i="23" s="1"/>
  <c r="DY53" i="23" s="1"/>
  <c r="BU53" i="23"/>
  <c r="BV53" i="23"/>
  <c r="BX53" i="23"/>
  <c r="BY53" i="23" s="1"/>
  <c r="BZ53" i="23"/>
  <c r="CC53" i="23" s="1"/>
  <c r="CA53" i="23"/>
  <c r="CD53" i="23"/>
  <c r="CE53" i="23"/>
  <c r="CF53" i="23"/>
  <c r="CG53" i="23"/>
  <c r="CK53" i="23"/>
  <c r="CN53" i="23"/>
  <c r="CS53" i="23"/>
  <c r="CT53" i="23"/>
  <c r="CU53" i="23"/>
  <c r="CV53" i="23"/>
  <c r="CW53" i="23"/>
  <c r="CX53" i="23"/>
  <c r="CY53" i="23"/>
  <c r="DA53" i="23"/>
  <c r="DB53" i="23"/>
  <c r="DC53" i="23" s="1"/>
  <c r="DD53" i="23"/>
  <c r="DE53" i="23"/>
  <c r="DH53" i="23"/>
  <c r="DJ53" i="23"/>
  <c r="DK53" i="23"/>
  <c r="DL53" i="23"/>
  <c r="DM53" i="23"/>
  <c r="DQ53" i="23"/>
  <c r="DR53" i="23"/>
  <c r="DS53" i="23"/>
  <c r="AV54" i="23"/>
  <c r="AW54" i="23"/>
  <c r="AX54" i="23"/>
  <c r="AY54" i="23"/>
  <c r="BA54" i="23"/>
  <c r="BB54" i="23"/>
  <c r="BC54" i="23"/>
  <c r="BD54" i="23"/>
  <c r="BG54" i="23"/>
  <c r="BH54" i="23"/>
  <c r="BJ54" i="23"/>
  <c r="BK54" i="23"/>
  <c r="BI54" i="23" s="1"/>
  <c r="BL54" i="23"/>
  <c r="BM54" i="23"/>
  <c r="BO54" i="23"/>
  <c r="BP54" i="23"/>
  <c r="BQ54" i="23"/>
  <c r="BR54" i="23"/>
  <c r="BT54" i="23"/>
  <c r="BU54" i="23"/>
  <c r="BV54" i="23"/>
  <c r="BX54" i="23"/>
  <c r="BY54" i="23" s="1"/>
  <c r="BZ54" i="23"/>
  <c r="CA54" i="23"/>
  <c r="CD54" i="23"/>
  <c r="CE54" i="23"/>
  <c r="CH54" i="23" s="1"/>
  <c r="CF54" i="23"/>
  <c r="CG54" i="23"/>
  <c r="CK54" i="23"/>
  <c r="CN54" i="23"/>
  <c r="CS54" i="23"/>
  <c r="CT54" i="23"/>
  <c r="CU54" i="23"/>
  <c r="CV54" i="23"/>
  <c r="CW54" i="23"/>
  <c r="CX54" i="23"/>
  <c r="CY54" i="23"/>
  <c r="DA54" i="23"/>
  <c r="DB54" i="23"/>
  <c r="DC54" i="23" s="1"/>
  <c r="DD54" i="23"/>
  <c r="DE54" i="23"/>
  <c r="DH54" i="23"/>
  <c r="DJ54" i="23"/>
  <c r="DK54" i="23"/>
  <c r="DN54" i="23" s="1"/>
  <c r="DL54" i="23"/>
  <c r="DM54" i="23"/>
  <c r="DQ54" i="23"/>
  <c r="DT54" i="23" s="1"/>
  <c r="EF54" i="23" s="1"/>
  <c r="DR54" i="23"/>
  <c r="DS54" i="23"/>
  <c r="AV55" i="23"/>
  <c r="AW55" i="23"/>
  <c r="AX55" i="23"/>
  <c r="AY55" i="23"/>
  <c r="BA55" i="23"/>
  <c r="BE55" i="23" s="1"/>
  <c r="BB55" i="23"/>
  <c r="BC55" i="23"/>
  <c r="BD55" i="23"/>
  <c r="BF55" i="23"/>
  <c r="DV55" i="23" s="1"/>
  <c r="BG55" i="23"/>
  <c r="BH55" i="23"/>
  <c r="BJ55" i="23"/>
  <c r="BK55" i="23"/>
  <c r="BL55" i="23"/>
  <c r="BM55" i="23"/>
  <c r="BO55" i="23"/>
  <c r="BP55" i="23"/>
  <c r="BQ55" i="23"/>
  <c r="BR55" i="23"/>
  <c r="BT55" i="23"/>
  <c r="BU55" i="23"/>
  <c r="BV55" i="23"/>
  <c r="BX55" i="23"/>
  <c r="BY55" i="23" s="1"/>
  <c r="BZ55" i="23"/>
  <c r="CA55" i="23"/>
  <c r="CD55" i="23"/>
  <c r="CE55" i="23"/>
  <c r="CF55" i="23"/>
  <c r="CG55" i="23"/>
  <c r="CK55" i="23"/>
  <c r="CN55" i="23"/>
  <c r="CS55" i="23"/>
  <c r="CT55" i="23"/>
  <c r="CU55" i="23"/>
  <c r="CV55" i="23"/>
  <c r="CW55" i="23"/>
  <c r="CX55" i="23"/>
  <c r="CY55" i="23"/>
  <c r="DA55" i="23"/>
  <c r="DB55" i="23"/>
  <c r="DC55" i="23" s="1"/>
  <c r="DD55" i="23"/>
  <c r="DE55" i="23"/>
  <c r="DH55" i="23"/>
  <c r="DJ55" i="23"/>
  <c r="DK55" i="23"/>
  <c r="DL55" i="23"/>
  <c r="DM55" i="23"/>
  <c r="DQ55" i="23"/>
  <c r="DR55" i="23"/>
  <c r="DS55" i="23"/>
  <c r="AV56" i="23"/>
  <c r="AW56" i="23"/>
  <c r="AX56" i="23"/>
  <c r="AY56" i="23"/>
  <c r="BA56" i="23"/>
  <c r="BB56" i="23"/>
  <c r="BC56" i="23"/>
  <c r="BD56" i="23"/>
  <c r="BG56" i="23"/>
  <c r="BH56" i="23"/>
  <c r="BJ56" i="23"/>
  <c r="BK56" i="23"/>
  <c r="BL56" i="23"/>
  <c r="BM56" i="23"/>
  <c r="BO56" i="23"/>
  <c r="BP56" i="23"/>
  <c r="BQ56" i="23"/>
  <c r="BR56" i="23"/>
  <c r="BT56" i="23"/>
  <c r="BU56" i="23"/>
  <c r="BV56" i="23"/>
  <c r="BX56" i="23"/>
  <c r="BY56" i="23" s="1"/>
  <c r="BZ56" i="23"/>
  <c r="CA56" i="23"/>
  <c r="CD56" i="23"/>
  <c r="CE56" i="23"/>
  <c r="CF56" i="23"/>
  <c r="CH56" i="23" s="1"/>
  <c r="CG56" i="23"/>
  <c r="CK56" i="23"/>
  <c r="CN56" i="23"/>
  <c r="CS56" i="23"/>
  <c r="CT56" i="23"/>
  <c r="CU56" i="23"/>
  <c r="CV56" i="23"/>
  <c r="CW56" i="23"/>
  <c r="CX56" i="23"/>
  <c r="CY56" i="23"/>
  <c r="DA56" i="23"/>
  <c r="DB56" i="23"/>
  <c r="DC56" i="23" s="1"/>
  <c r="DD56" i="23"/>
  <c r="DE56" i="23"/>
  <c r="DH56" i="23"/>
  <c r="DJ56" i="23"/>
  <c r="DK56" i="23"/>
  <c r="DL56" i="23"/>
  <c r="DM56" i="23"/>
  <c r="DQ56" i="23"/>
  <c r="DR56" i="23"/>
  <c r="DS56" i="23"/>
  <c r="AV57" i="23"/>
  <c r="AW57" i="23"/>
  <c r="AX57" i="23"/>
  <c r="AY57" i="23"/>
  <c r="BA57" i="23"/>
  <c r="BB57" i="23"/>
  <c r="BC57" i="23"/>
  <c r="BD57" i="23"/>
  <c r="BF57" i="23" s="1"/>
  <c r="DV57" i="23" s="1"/>
  <c r="BG57" i="23"/>
  <c r="BH57" i="23"/>
  <c r="BJ57" i="23"/>
  <c r="BI57" i="23" s="1"/>
  <c r="BK57" i="23"/>
  <c r="BL57" i="23"/>
  <c r="BM57" i="23"/>
  <c r="BO57" i="23"/>
  <c r="BP57" i="23"/>
  <c r="BQ57" i="23"/>
  <c r="BR57" i="23"/>
  <c r="BT57" i="23"/>
  <c r="BU57" i="23"/>
  <c r="BV57" i="23"/>
  <c r="BX57" i="23"/>
  <c r="BY57" i="23" s="1"/>
  <c r="BZ57" i="23"/>
  <c r="CA57" i="23"/>
  <c r="CD57" i="23"/>
  <c r="CE57" i="23"/>
  <c r="CF57" i="23"/>
  <c r="CG57" i="23"/>
  <c r="CI57" i="23"/>
  <c r="CK57" i="23"/>
  <c r="CN57" i="23"/>
  <c r="CS57" i="23"/>
  <c r="CT57" i="23"/>
  <c r="CU57" i="23"/>
  <c r="CV57" i="23"/>
  <c r="CW57" i="23"/>
  <c r="CX57" i="23"/>
  <c r="CY57" i="23"/>
  <c r="DA57" i="23"/>
  <c r="DB57" i="23"/>
  <c r="DC57" i="23" s="1"/>
  <c r="DD57" i="23"/>
  <c r="DE57" i="23"/>
  <c r="DH57" i="23"/>
  <c r="DJ57" i="23"/>
  <c r="DK57" i="23"/>
  <c r="DL57" i="23"/>
  <c r="DM57" i="23"/>
  <c r="DQ57" i="23"/>
  <c r="DR57" i="23"/>
  <c r="DS57" i="23"/>
  <c r="AV58" i="23"/>
  <c r="AW58" i="23"/>
  <c r="AX58" i="23"/>
  <c r="AY58" i="23"/>
  <c r="BA58" i="23"/>
  <c r="BB58" i="23"/>
  <c r="BC58" i="23"/>
  <c r="BD58" i="23"/>
  <c r="BG58" i="23"/>
  <c r="BH58" i="23"/>
  <c r="BJ58" i="23"/>
  <c r="BI58" i="23" s="1"/>
  <c r="BK58" i="23"/>
  <c r="BL58" i="23"/>
  <c r="BM58" i="23"/>
  <c r="BO58" i="23"/>
  <c r="BP58" i="23"/>
  <c r="BQ58" i="23"/>
  <c r="BR58" i="23"/>
  <c r="BT58" i="23"/>
  <c r="BU58" i="23"/>
  <c r="BV58" i="23"/>
  <c r="BX58" i="23"/>
  <c r="BZ58" i="23"/>
  <c r="CA58" i="23"/>
  <c r="CD58" i="23"/>
  <c r="CE58" i="23"/>
  <c r="CF58" i="23"/>
  <c r="CG58" i="23"/>
  <c r="CK58" i="23"/>
  <c r="CN58" i="23"/>
  <c r="CS58" i="23"/>
  <c r="CT58" i="23"/>
  <c r="CU58" i="23"/>
  <c r="CV58" i="23"/>
  <c r="CW58" i="23"/>
  <c r="CX58" i="23"/>
  <c r="CY58" i="23"/>
  <c r="DA58" i="23"/>
  <c r="DB58" i="23"/>
  <c r="DC58" i="23" s="1"/>
  <c r="DD58" i="23"/>
  <c r="DE58" i="23"/>
  <c r="DH58" i="23"/>
  <c r="DJ58" i="23"/>
  <c r="DK58" i="23"/>
  <c r="DL58" i="23"/>
  <c r="DM58" i="23"/>
  <c r="DQ58" i="23"/>
  <c r="DT58" i="23" s="1"/>
  <c r="EF58" i="23" s="1"/>
  <c r="DR58" i="23"/>
  <c r="DS58" i="23"/>
  <c r="AV59" i="23"/>
  <c r="AW59" i="23"/>
  <c r="AX59" i="23"/>
  <c r="AY59" i="23"/>
  <c r="BA59" i="23"/>
  <c r="BB59" i="23"/>
  <c r="BC59" i="23"/>
  <c r="BD59" i="23"/>
  <c r="BG59" i="23"/>
  <c r="BH59" i="23"/>
  <c r="BJ59" i="23"/>
  <c r="BK59" i="23"/>
  <c r="BL59" i="23"/>
  <c r="BM59" i="23"/>
  <c r="BO59" i="23"/>
  <c r="BP59" i="23"/>
  <c r="BQ59" i="23"/>
  <c r="BR59" i="23"/>
  <c r="BT59" i="23"/>
  <c r="BU59" i="23"/>
  <c r="BV59" i="23"/>
  <c r="BX59" i="23"/>
  <c r="BY59" i="23" s="1"/>
  <c r="CB59" i="23" s="1"/>
  <c r="BZ59" i="23"/>
  <c r="CA59" i="23"/>
  <c r="CD59" i="23"/>
  <c r="CE59" i="23"/>
  <c r="CH59" i="23" s="1"/>
  <c r="CF59" i="23"/>
  <c r="CG59" i="23"/>
  <c r="CI59" i="23"/>
  <c r="CJ59" i="23"/>
  <c r="CK59" i="23"/>
  <c r="CN59" i="23"/>
  <c r="CS59" i="23"/>
  <c r="CZ59" i="23" s="1"/>
  <c r="EB59" i="23" s="1"/>
  <c r="CT59" i="23"/>
  <c r="CU59" i="23"/>
  <c r="CV59" i="23"/>
  <c r="CW59" i="23"/>
  <c r="CX59" i="23"/>
  <c r="CY59" i="23"/>
  <c r="DA59" i="23"/>
  <c r="DB59" i="23"/>
  <c r="DC59" i="23" s="1"/>
  <c r="DD59" i="23"/>
  <c r="DE59" i="23"/>
  <c r="DH59" i="23"/>
  <c r="DJ59" i="23"/>
  <c r="DK59" i="23"/>
  <c r="DL59" i="23"/>
  <c r="DM59" i="23"/>
  <c r="DQ59" i="23"/>
  <c r="DR59" i="23"/>
  <c r="DS59" i="23"/>
  <c r="AV60" i="23"/>
  <c r="AW60" i="23"/>
  <c r="AX60" i="23"/>
  <c r="AY60" i="23"/>
  <c r="BA60" i="23"/>
  <c r="BB60" i="23"/>
  <c r="BC60" i="23"/>
  <c r="BD60" i="23"/>
  <c r="BG60" i="23"/>
  <c r="BH60" i="23"/>
  <c r="BJ60" i="23"/>
  <c r="BK60" i="23"/>
  <c r="BL60" i="23"/>
  <c r="BM60" i="23"/>
  <c r="BO60" i="23"/>
  <c r="BP60" i="23"/>
  <c r="BQ60" i="23"/>
  <c r="BR60" i="23"/>
  <c r="BT60" i="23"/>
  <c r="BU60" i="23"/>
  <c r="BV60" i="23"/>
  <c r="BX60" i="23"/>
  <c r="BY60" i="23" s="1"/>
  <c r="BZ60" i="23"/>
  <c r="CA60" i="23"/>
  <c r="CD60" i="23"/>
  <c r="CE60" i="23"/>
  <c r="CF60" i="23"/>
  <c r="CG60" i="23"/>
  <c r="CK60" i="23"/>
  <c r="CN60" i="23"/>
  <c r="CS60" i="23"/>
  <c r="CT60" i="23"/>
  <c r="CU60" i="23"/>
  <c r="CV60" i="23"/>
  <c r="CW60" i="23"/>
  <c r="CX60" i="23"/>
  <c r="CY60" i="23"/>
  <c r="DA60" i="23"/>
  <c r="DB60" i="23"/>
  <c r="DC60" i="23" s="1"/>
  <c r="DD60" i="23"/>
  <c r="DE60" i="23"/>
  <c r="DH60" i="23"/>
  <c r="DJ60" i="23"/>
  <c r="DK60" i="23"/>
  <c r="DL60" i="23"/>
  <c r="DM60" i="23"/>
  <c r="DQ60" i="23"/>
  <c r="DR60" i="23"/>
  <c r="DS60" i="23"/>
  <c r="DT60" i="23"/>
  <c r="EF60" i="23" s="1"/>
  <c r="AV61" i="23"/>
  <c r="AW61" i="23"/>
  <c r="AX61" i="23"/>
  <c r="AY61" i="23"/>
  <c r="BA61" i="23"/>
  <c r="BB61" i="23"/>
  <c r="BC61" i="23"/>
  <c r="BD61" i="23"/>
  <c r="BG61" i="23"/>
  <c r="BH61" i="23"/>
  <c r="BJ61" i="23"/>
  <c r="BK61" i="23"/>
  <c r="BL61" i="23"/>
  <c r="BM61" i="23"/>
  <c r="BO61" i="23"/>
  <c r="BP61" i="23"/>
  <c r="BQ61" i="23"/>
  <c r="BR61" i="23"/>
  <c r="BT61" i="23"/>
  <c r="BU61" i="23"/>
  <c r="BV61" i="23"/>
  <c r="BX61" i="23"/>
  <c r="BY61" i="23" s="1"/>
  <c r="BZ61" i="23"/>
  <c r="CA61" i="23"/>
  <c r="CD61" i="23"/>
  <c r="CE61" i="23"/>
  <c r="CF61" i="23"/>
  <c r="CG61" i="23"/>
  <c r="CK61" i="23"/>
  <c r="CN61" i="23"/>
  <c r="CS61" i="23"/>
  <c r="CT61" i="23"/>
  <c r="CU61" i="23"/>
  <c r="CV61" i="23"/>
  <c r="CW61" i="23"/>
  <c r="CX61" i="23"/>
  <c r="CY61" i="23"/>
  <c r="DA61" i="23"/>
  <c r="DB61" i="23"/>
  <c r="DC61" i="23" s="1"/>
  <c r="DD61" i="23"/>
  <c r="DE61" i="23"/>
  <c r="DH61" i="23"/>
  <c r="DJ61" i="23"/>
  <c r="DK61" i="23"/>
  <c r="DL61" i="23"/>
  <c r="DM61" i="23"/>
  <c r="DQ61" i="23"/>
  <c r="DR61" i="23"/>
  <c r="DS61" i="23"/>
  <c r="AV62" i="23"/>
  <c r="AW62" i="23"/>
  <c r="AX62" i="23"/>
  <c r="AY62" i="23"/>
  <c r="BA62" i="23"/>
  <c r="BB62" i="23"/>
  <c r="BC62" i="23"/>
  <c r="BD62" i="23"/>
  <c r="BG62" i="23"/>
  <c r="BH62" i="23"/>
  <c r="BJ62" i="23"/>
  <c r="BK62" i="23"/>
  <c r="BL62" i="23"/>
  <c r="BM62" i="23"/>
  <c r="BO62" i="23"/>
  <c r="BP62" i="23"/>
  <c r="BQ62" i="23"/>
  <c r="BR62" i="23"/>
  <c r="BT62" i="23"/>
  <c r="BU62" i="23"/>
  <c r="BV62" i="23"/>
  <c r="BX62" i="23"/>
  <c r="BY62" i="23" s="1"/>
  <c r="BZ62" i="23"/>
  <c r="CA62" i="23"/>
  <c r="CD62" i="23"/>
  <c r="CE62" i="23"/>
  <c r="CF62" i="23"/>
  <c r="CG62" i="23"/>
  <c r="CK62" i="23"/>
  <c r="CN62" i="23"/>
  <c r="CS62" i="23"/>
  <c r="CT62" i="23"/>
  <c r="CU62" i="23"/>
  <c r="CV62" i="23"/>
  <c r="CW62" i="23"/>
  <c r="CX62" i="23"/>
  <c r="CY62" i="23"/>
  <c r="DA62" i="23"/>
  <c r="DB62" i="23"/>
  <c r="DC62" i="23" s="1"/>
  <c r="DD62" i="23"/>
  <c r="DE62" i="23"/>
  <c r="DI62" i="23" s="1"/>
  <c r="DH62" i="23"/>
  <c r="DJ62" i="23"/>
  <c r="DK62" i="23"/>
  <c r="DL62" i="23"/>
  <c r="DM62" i="23"/>
  <c r="DQ62" i="23"/>
  <c r="DR62" i="23"/>
  <c r="DS62" i="23"/>
  <c r="DT62" i="23"/>
  <c r="EF62" i="23" s="1"/>
  <c r="AV63" i="23"/>
  <c r="AW63" i="23"/>
  <c r="AX63" i="23"/>
  <c r="AY63" i="23"/>
  <c r="AZ63" i="23" s="1"/>
  <c r="DU63" i="23" s="1"/>
  <c r="BA63" i="23"/>
  <c r="BB63" i="23"/>
  <c r="BC63" i="23"/>
  <c r="BD63" i="23"/>
  <c r="BF63" i="23" s="1"/>
  <c r="DV63" i="23" s="1"/>
  <c r="BG63" i="23"/>
  <c r="BH63" i="23"/>
  <c r="BJ63" i="23"/>
  <c r="BI63" i="23" s="1"/>
  <c r="BK63" i="23"/>
  <c r="BL63" i="23"/>
  <c r="BM63" i="23"/>
  <c r="BO63" i="23"/>
  <c r="BP63" i="23"/>
  <c r="BQ63" i="23"/>
  <c r="BR63" i="23"/>
  <c r="BT63" i="23"/>
  <c r="BU63" i="23"/>
  <c r="BV63" i="23"/>
  <c r="BX63" i="23"/>
  <c r="BY63" i="23" s="1"/>
  <c r="BZ63" i="23"/>
  <c r="CA63" i="23"/>
  <c r="CD63" i="23"/>
  <c r="CE63" i="23"/>
  <c r="CF63" i="23"/>
  <c r="CG63" i="23"/>
  <c r="CK63" i="23"/>
  <c r="CN63" i="23"/>
  <c r="CS63" i="23"/>
  <c r="CT63" i="23"/>
  <c r="CU63" i="23"/>
  <c r="CV63" i="23"/>
  <c r="CW63" i="23"/>
  <c r="CX63" i="23"/>
  <c r="CY63" i="23"/>
  <c r="DA63" i="23"/>
  <c r="DB63" i="23"/>
  <c r="DC63" i="23" s="1"/>
  <c r="DD63" i="23"/>
  <c r="DE63" i="23"/>
  <c r="DH63" i="23"/>
  <c r="DJ63" i="23"/>
  <c r="DK63" i="23"/>
  <c r="DL63" i="23"/>
  <c r="DM63" i="23"/>
  <c r="DQ63" i="23"/>
  <c r="DR63" i="23"/>
  <c r="DS63" i="23"/>
  <c r="AV64" i="23"/>
  <c r="AW64" i="23"/>
  <c r="AX64" i="23"/>
  <c r="AY64" i="23"/>
  <c r="BA64" i="23"/>
  <c r="BB64" i="23"/>
  <c r="BC64" i="23"/>
  <c r="BD64" i="23"/>
  <c r="BF64" i="23" s="1"/>
  <c r="DV64" i="23" s="1"/>
  <c r="BG64" i="23"/>
  <c r="BH64" i="23"/>
  <c r="BJ64" i="23"/>
  <c r="BK64" i="23"/>
  <c r="BL64" i="23"/>
  <c r="BM64" i="23"/>
  <c r="BO64" i="23"/>
  <c r="BP64" i="23"/>
  <c r="BQ64" i="23"/>
  <c r="BR64" i="23"/>
  <c r="BT64" i="23"/>
  <c r="BU64" i="23"/>
  <c r="BV64" i="23"/>
  <c r="BX64" i="23"/>
  <c r="BY64" i="23" s="1"/>
  <c r="CC64" i="23" s="1"/>
  <c r="BZ64" i="23"/>
  <c r="CA64" i="23"/>
  <c r="CD64" i="23"/>
  <c r="CE64" i="23"/>
  <c r="CF64" i="23"/>
  <c r="CG64" i="23"/>
  <c r="CK64" i="23"/>
  <c r="CN64" i="23"/>
  <c r="CS64" i="23"/>
  <c r="CT64" i="23"/>
  <c r="CU64" i="23"/>
  <c r="CV64" i="23"/>
  <c r="CW64" i="23"/>
  <c r="CX64" i="23"/>
  <c r="CY64" i="23"/>
  <c r="DA64" i="23"/>
  <c r="DB64" i="23"/>
  <c r="DC64" i="23" s="1"/>
  <c r="DD64" i="23"/>
  <c r="DE64" i="23"/>
  <c r="DH64" i="23"/>
  <c r="DJ64" i="23"/>
  <c r="DK64" i="23"/>
  <c r="DL64" i="23"/>
  <c r="DM64" i="23"/>
  <c r="DQ64" i="23"/>
  <c r="DR64" i="23"/>
  <c r="DS64" i="23"/>
  <c r="AV65" i="23"/>
  <c r="AW65" i="23"/>
  <c r="AX65" i="23"/>
  <c r="AY65" i="23"/>
  <c r="AZ65" i="23" s="1"/>
  <c r="DU65" i="23" s="1"/>
  <c r="BA65" i="23"/>
  <c r="BB65" i="23"/>
  <c r="BC65" i="23"/>
  <c r="BD65" i="23"/>
  <c r="BF65" i="23" s="1"/>
  <c r="DV65" i="23" s="1"/>
  <c r="BG65" i="23"/>
  <c r="BH65" i="23"/>
  <c r="BJ65" i="23"/>
  <c r="BK65" i="23"/>
  <c r="BL65" i="23"/>
  <c r="BM65" i="23"/>
  <c r="BO65" i="23"/>
  <c r="BP65" i="23"/>
  <c r="BQ65" i="23"/>
  <c r="BR65" i="23"/>
  <c r="BT65" i="23"/>
  <c r="BU65" i="23"/>
  <c r="BV65" i="23"/>
  <c r="BX65" i="23"/>
  <c r="BY65" i="23" s="1"/>
  <c r="BZ65" i="23"/>
  <c r="CA65" i="23"/>
  <c r="CD65" i="23"/>
  <c r="CE65" i="23"/>
  <c r="CF65" i="23"/>
  <c r="CG65" i="23"/>
  <c r="CI65" i="23" s="1"/>
  <c r="CK65" i="23"/>
  <c r="CN65" i="23"/>
  <c r="CS65" i="23"/>
  <c r="CT65" i="23"/>
  <c r="CU65" i="23"/>
  <c r="CV65" i="23"/>
  <c r="CW65" i="23"/>
  <c r="CX65" i="23"/>
  <c r="CY65" i="23"/>
  <c r="DA65" i="23"/>
  <c r="DB65" i="23"/>
  <c r="DC65" i="23" s="1"/>
  <c r="DD65" i="23"/>
  <c r="DE65" i="23"/>
  <c r="DH65" i="23"/>
  <c r="DJ65" i="23"/>
  <c r="DK65" i="23"/>
  <c r="DL65" i="23"/>
  <c r="DM65" i="23"/>
  <c r="DQ65" i="23"/>
  <c r="DR65" i="23"/>
  <c r="DT65" i="23" s="1"/>
  <c r="EF65" i="23" s="1"/>
  <c r="DS65" i="23"/>
  <c r="AV66" i="23"/>
  <c r="AW66" i="23"/>
  <c r="AX66" i="23"/>
  <c r="AY66" i="23"/>
  <c r="BA66" i="23"/>
  <c r="BB66" i="23"/>
  <c r="BC66" i="23"/>
  <c r="BD66" i="23"/>
  <c r="BF66" i="23" s="1"/>
  <c r="BG66" i="23"/>
  <c r="BH66" i="23"/>
  <c r="BJ66" i="23"/>
  <c r="BK66" i="23"/>
  <c r="BI66" i="23" s="1"/>
  <c r="BL66" i="23"/>
  <c r="BM66" i="23"/>
  <c r="BO66" i="23"/>
  <c r="BP66" i="23"/>
  <c r="BQ66" i="23"/>
  <c r="BR66" i="23"/>
  <c r="BT66" i="23"/>
  <c r="BU66" i="23"/>
  <c r="BV66" i="23"/>
  <c r="BX66" i="23"/>
  <c r="BY66" i="23" s="1"/>
  <c r="BZ66" i="23"/>
  <c r="CA66" i="23"/>
  <c r="CD66" i="23"/>
  <c r="CE66" i="23"/>
  <c r="CF66" i="23"/>
  <c r="CG66" i="23"/>
  <c r="CK66" i="23"/>
  <c r="CN66" i="23"/>
  <c r="CS66" i="23"/>
  <c r="CT66" i="23"/>
  <c r="CU66" i="23"/>
  <c r="CV66" i="23"/>
  <c r="CW66" i="23"/>
  <c r="CX66" i="23"/>
  <c r="CY66" i="23"/>
  <c r="DA66" i="23"/>
  <c r="DB66" i="23"/>
  <c r="DC66" i="23" s="1"/>
  <c r="DD66" i="23"/>
  <c r="DE66" i="23"/>
  <c r="DH66" i="23"/>
  <c r="DJ66" i="23"/>
  <c r="DK66" i="23"/>
  <c r="DL66" i="23"/>
  <c r="DM66" i="23"/>
  <c r="DQ66" i="23"/>
  <c r="DR66" i="23"/>
  <c r="DS66" i="23"/>
  <c r="DV66" i="23"/>
  <c r="AV67" i="23"/>
  <c r="AW67" i="23"/>
  <c r="AX67" i="23"/>
  <c r="AY67" i="23"/>
  <c r="BA67" i="23"/>
  <c r="BB67" i="23"/>
  <c r="BC67" i="23"/>
  <c r="BD67" i="23"/>
  <c r="BG67" i="23"/>
  <c r="BH67" i="23"/>
  <c r="BJ67" i="23"/>
  <c r="BK67" i="23"/>
  <c r="BL67" i="23"/>
  <c r="BM67" i="23"/>
  <c r="BO67" i="23"/>
  <c r="BP67" i="23"/>
  <c r="BQ67" i="23"/>
  <c r="BR67" i="23"/>
  <c r="BT67" i="23"/>
  <c r="BU67" i="23"/>
  <c r="BV67" i="23"/>
  <c r="BX67" i="23"/>
  <c r="BY67" i="23" s="1"/>
  <c r="BZ67" i="23"/>
  <c r="CA67" i="23"/>
  <c r="CD67" i="23"/>
  <c r="CE67" i="23"/>
  <c r="CF67" i="23"/>
  <c r="CG67" i="23"/>
  <c r="CK67" i="23"/>
  <c r="CN67" i="23"/>
  <c r="CS67" i="23"/>
  <c r="CT67" i="23"/>
  <c r="CU67" i="23"/>
  <c r="CV67" i="23"/>
  <c r="CW67" i="23"/>
  <c r="CX67" i="23"/>
  <c r="CY67" i="23"/>
  <c r="DA67" i="23"/>
  <c r="DB67" i="23"/>
  <c r="DC67" i="23" s="1"/>
  <c r="DD67" i="23"/>
  <c r="DE67" i="23"/>
  <c r="DH67" i="23"/>
  <c r="DJ67" i="23"/>
  <c r="DK67" i="23"/>
  <c r="DL67" i="23"/>
  <c r="DM67" i="23"/>
  <c r="DQ67" i="23"/>
  <c r="DR67" i="23"/>
  <c r="DS67" i="23"/>
  <c r="AV68" i="23"/>
  <c r="AW68" i="23"/>
  <c r="AX68" i="23"/>
  <c r="AY68" i="23"/>
  <c r="BA68" i="23"/>
  <c r="BB68" i="23"/>
  <c r="BC68" i="23"/>
  <c r="BD68" i="23"/>
  <c r="BF68" i="23" s="1"/>
  <c r="DV68" i="23" s="1"/>
  <c r="BG68" i="23"/>
  <c r="BH68" i="23"/>
  <c r="BJ68" i="23"/>
  <c r="BK68" i="23"/>
  <c r="BL68" i="23"/>
  <c r="BM68" i="23"/>
  <c r="BO68" i="23"/>
  <c r="BP68" i="23"/>
  <c r="BQ68" i="23"/>
  <c r="BR68" i="23"/>
  <c r="BT68" i="23"/>
  <c r="BU68" i="23"/>
  <c r="BV68" i="23"/>
  <c r="BX68" i="23"/>
  <c r="BY68" i="23" s="1"/>
  <c r="BZ68" i="23"/>
  <c r="CA68" i="23"/>
  <c r="CD68" i="23"/>
  <c r="CE68" i="23"/>
  <c r="CF68" i="23"/>
  <c r="CI68" i="23" s="1"/>
  <c r="CG68" i="23"/>
  <c r="CK68" i="23"/>
  <c r="CN68" i="23"/>
  <c r="CS68" i="23"/>
  <c r="CT68" i="23"/>
  <c r="CU68" i="23"/>
  <c r="CV68" i="23"/>
  <c r="CW68" i="23"/>
  <c r="CX68" i="23"/>
  <c r="CY68" i="23"/>
  <c r="DA68" i="23"/>
  <c r="DB68" i="23"/>
  <c r="DC68" i="23" s="1"/>
  <c r="DD68" i="23"/>
  <c r="DE68" i="23"/>
  <c r="DH68" i="23"/>
  <c r="DJ68" i="23"/>
  <c r="DK68" i="23"/>
  <c r="DL68" i="23"/>
  <c r="DM68" i="23"/>
  <c r="DQ68" i="23"/>
  <c r="DR68" i="23"/>
  <c r="DS68" i="23"/>
  <c r="AV69" i="23"/>
  <c r="AW69" i="23"/>
  <c r="AX69" i="23"/>
  <c r="AY69" i="23"/>
  <c r="BA69" i="23"/>
  <c r="BB69" i="23"/>
  <c r="BC69" i="23"/>
  <c r="BD69" i="23"/>
  <c r="BF69" i="23" s="1"/>
  <c r="BG69" i="23"/>
  <c r="BH69" i="23"/>
  <c r="BJ69" i="23"/>
  <c r="BK69" i="23"/>
  <c r="BI69" i="23" s="1"/>
  <c r="BL69" i="23"/>
  <c r="BM69" i="23"/>
  <c r="BO69" i="23"/>
  <c r="BP69" i="23"/>
  <c r="BQ69" i="23"/>
  <c r="BR69" i="23"/>
  <c r="BT69" i="23"/>
  <c r="BU69" i="23"/>
  <c r="BV69" i="23"/>
  <c r="BX69" i="23"/>
  <c r="BY69" i="23" s="1"/>
  <c r="BZ69" i="23"/>
  <c r="CA69" i="23"/>
  <c r="CD69" i="23"/>
  <c r="CE69" i="23"/>
  <c r="CF69" i="23"/>
  <c r="CG69" i="23"/>
  <c r="CK69" i="23"/>
  <c r="CN69" i="23"/>
  <c r="CS69" i="23"/>
  <c r="CT69" i="23"/>
  <c r="CU69" i="23"/>
  <c r="CV69" i="23"/>
  <c r="CW69" i="23"/>
  <c r="CX69" i="23"/>
  <c r="CY69" i="23"/>
  <c r="DA69" i="23"/>
  <c r="DB69" i="23"/>
  <c r="DC69" i="23" s="1"/>
  <c r="DD69" i="23"/>
  <c r="DE69" i="23"/>
  <c r="DH69" i="23"/>
  <c r="DJ69" i="23"/>
  <c r="DK69" i="23"/>
  <c r="DL69" i="23"/>
  <c r="DM69" i="23"/>
  <c r="DQ69" i="23"/>
  <c r="DR69" i="23"/>
  <c r="DT69" i="23" s="1"/>
  <c r="EF69" i="23" s="1"/>
  <c r="DS69" i="23"/>
  <c r="DV69" i="23"/>
  <c r="AV70" i="23"/>
  <c r="AW70" i="23"/>
  <c r="AX70" i="23"/>
  <c r="AY70" i="23"/>
  <c r="BA70" i="23"/>
  <c r="BB70" i="23"/>
  <c r="BC70" i="23"/>
  <c r="BD70" i="23"/>
  <c r="BF70" i="23" s="1"/>
  <c r="DV70" i="23" s="1"/>
  <c r="BG70" i="23"/>
  <c r="BH70" i="23"/>
  <c r="BJ70" i="23"/>
  <c r="BK70" i="23"/>
  <c r="BL70" i="23"/>
  <c r="BM70" i="23"/>
  <c r="BO70" i="23"/>
  <c r="BP70" i="23"/>
  <c r="BQ70" i="23"/>
  <c r="BR70" i="23"/>
  <c r="BT70" i="23"/>
  <c r="BU70" i="23"/>
  <c r="BV70" i="23"/>
  <c r="BX70" i="23"/>
  <c r="BY70" i="23" s="1"/>
  <c r="CC70" i="23" s="1"/>
  <c r="BZ70" i="23"/>
  <c r="CA70" i="23"/>
  <c r="CD70" i="23"/>
  <c r="CE70" i="23"/>
  <c r="CF70" i="23"/>
  <c r="CG70" i="23"/>
  <c r="CK70" i="23"/>
  <c r="CN70" i="23"/>
  <c r="CS70" i="23"/>
  <c r="CT70" i="23"/>
  <c r="CU70" i="23"/>
  <c r="CV70" i="23"/>
  <c r="CW70" i="23"/>
  <c r="CX70" i="23"/>
  <c r="CY70" i="23"/>
  <c r="DA70" i="23"/>
  <c r="DB70" i="23"/>
  <c r="DC70" i="23" s="1"/>
  <c r="DD70" i="23"/>
  <c r="DE70" i="23"/>
  <c r="DH70" i="23"/>
  <c r="DJ70" i="23"/>
  <c r="DK70" i="23"/>
  <c r="DL70" i="23"/>
  <c r="DM70" i="23"/>
  <c r="DQ70" i="23"/>
  <c r="DR70" i="23"/>
  <c r="DS70" i="23"/>
  <c r="AV71" i="23"/>
  <c r="AW71" i="23"/>
  <c r="AX71" i="23"/>
  <c r="AY71" i="23"/>
  <c r="BA71" i="23"/>
  <c r="BB71" i="23"/>
  <c r="BC71" i="23"/>
  <c r="BD71" i="23"/>
  <c r="BG71" i="23"/>
  <c r="BH71" i="23"/>
  <c r="BJ71" i="23"/>
  <c r="BK71" i="23"/>
  <c r="BL71" i="23"/>
  <c r="BM71" i="23"/>
  <c r="BO71" i="23"/>
  <c r="BP71" i="23"/>
  <c r="BQ71" i="23"/>
  <c r="BR71" i="23"/>
  <c r="BT71" i="23"/>
  <c r="BU71" i="23"/>
  <c r="BV71" i="23"/>
  <c r="BX71" i="23"/>
  <c r="BY71" i="23" s="1"/>
  <c r="BZ71" i="23"/>
  <c r="CA71" i="23"/>
  <c r="CD71" i="23"/>
  <c r="CE71" i="23"/>
  <c r="CF71" i="23"/>
  <c r="CG71" i="23"/>
  <c r="CI71" i="23"/>
  <c r="CK71" i="23"/>
  <c r="CN71" i="23"/>
  <c r="CS71" i="23"/>
  <c r="CT71" i="23"/>
  <c r="CU71" i="23"/>
  <c r="CV71" i="23"/>
  <c r="CW71" i="23"/>
  <c r="CX71" i="23"/>
  <c r="CY71" i="23"/>
  <c r="DA71" i="23"/>
  <c r="DB71" i="23"/>
  <c r="DC71" i="23" s="1"/>
  <c r="DD71" i="23"/>
  <c r="DE71" i="23"/>
  <c r="DH71" i="23"/>
  <c r="DI71" i="23" s="1"/>
  <c r="DJ71" i="23"/>
  <c r="DK71" i="23"/>
  <c r="DN71" i="23" s="1"/>
  <c r="DO71" i="23" s="1"/>
  <c r="DP71" i="23" s="1"/>
  <c r="EE71" i="23" s="1"/>
  <c r="DL71" i="23"/>
  <c r="DM71" i="23"/>
  <c r="DQ71" i="23"/>
  <c r="DR71" i="23"/>
  <c r="DT71" i="23" s="1"/>
  <c r="EF71" i="23" s="1"/>
  <c r="DS71" i="23"/>
  <c r="AV72" i="23"/>
  <c r="AW72" i="23"/>
  <c r="AZ72" i="23" s="1"/>
  <c r="DU72" i="23" s="1"/>
  <c r="AX72" i="23"/>
  <c r="AY72" i="23"/>
  <c r="BA72" i="23"/>
  <c r="BB72" i="23"/>
  <c r="BC72" i="23"/>
  <c r="BD72" i="23"/>
  <c r="BF72" i="23" s="1"/>
  <c r="DV72" i="23" s="1"/>
  <c r="BG72" i="23"/>
  <c r="BH72" i="23"/>
  <c r="BJ72" i="23"/>
  <c r="BI72" i="23" s="1"/>
  <c r="BK72" i="23"/>
  <c r="BL72" i="23"/>
  <c r="BM72" i="23"/>
  <c r="BO72" i="23"/>
  <c r="BP72" i="23"/>
  <c r="BQ72" i="23"/>
  <c r="BR72" i="23"/>
  <c r="BT72" i="23"/>
  <c r="BU72" i="23"/>
  <c r="BV72" i="23"/>
  <c r="BX72" i="23"/>
  <c r="BY72" i="23" s="1"/>
  <c r="BZ72" i="23"/>
  <c r="CA72" i="23"/>
  <c r="CD72" i="23"/>
  <c r="CE72" i="23"/>
  <c r="CF72" i="23"/>
  <c r="CG72" i="23"/>
  <c r="CK72" i="23"/>
  <c r="CN72" i="23"/>
  <c r="CS72" i="23"/>
  <c r="CT72" i="23"/>
  <c r="CU72" i="23"/>
  <c r="CV72" i="23"/>
  <c r="CW72" i="23"/>
  <c r="CX72" i="23"/>
  <c r="CY72" i="23"/>
  <c r="DA72" i="23"/>
  <c r="DB72" i="23"/>
  <c r="DC72" i="23" s="1"/>
  <c r="DD72" i="23"/>
  <c r="DE72" i="23"/>
  <c r="DI72" i="23" s="1"/>
  <c r="DH72" i="23"/>
  <c r="DJ72" i="23"/>
  <c r="DK72" i="23"/>
  <c r="DL72" i="23"/>
  <c r="DM72" i="23"/>
  <c r="DQ72" i="23"/>
  <c r="DR72" i="23"/>
  <c r="DS72" i="23"/>
  <c r="AV73" i="23"/>
  <c r="AW73" i="23"/>
  <c r="AX73" i="23"/>
  <c r="AY73" i="23"/>
  <c r="BA73" i="23"/>
  <c r="BB73" i="23"/>
  <c r="BC73" i="23"/>
  <c r="BD73" i="23"/>
  <c r="BF73" i="23" s="1"/>
  <c r="DV73" i="23" s="1"/>
  <c r="BG73" i="23"/>
  <c r="BH73" i="23"/>
  <c r="BJ73" i="23"/>
  <c r="BK73" i="23"/>
  <c r="BL73" i="23"/>
  <c r="BM73" i="23"/>
  <c r="BO73" i="23"/>
  <c r="BP73" i="23"/>
  <c r="BQ73" i="23"/>
  <c r="BR73" i="23"/>
  <c r="BT73" i="23"/>
  <c r="BU73" i="23"/>
  <c r="BV73" i="23"/>
  <c r="BX73" i="23"/>
  <c r="BY73" i="23" s="1"/>
  <c r="BZ73" i="23"/>
  <c r="CA73" i="23"/>
  <c r="CD73" i="23"/>
  <c r="CE73" i="23"/>
  <c r="CF73" i="23"/>
  <c r="CG73" i="23"/>
  <c r="CK73" i="23"/>
  <c r="CN73" i="23"/>
  <c r="CS73" i="23"/>
  <c r="CT73" i="23"/>
  <c r="CU73" i="23"/>
  <c r="CV73" i="23"/>
  <c r="CW73" i="23"/>
  <c r="CX73" i="23"/>
  <c r="CY73" i="23"/>
  <c r="DA73" i="23"/>
  <c r="DB73" i="23"/>
  <c r="DC73" i="23" s="1"/>
  <c r="DD73" i="23"/>
  <c r="DE73" i="23"/>
  <c r="DH73" i="23"/>
  <c r="DJ73" i="23"/>
  <c r="DK73" i="23"/>
  <c r="DL73" i="23"/>
  <c r="DM73" i="23"/>
  <c r="DQ73" i="23"/>
  <c r="DR73" i="23"/>
  <c r="DS73" i="23"/>
  <c r="AV74" i="23"/>
  <c r="AW74" i="23"/>
  <c r="AX74" i="23"/>
  <c r="AY74" i="23"/>
  <c r="BA74" i="23"/>
  <c r="BB74" i="23"/>
  <c r="BC74" i="23"/>
  <c r="BD74" i="23"/>
  <c r="BF74" i="23" s="1"/>
  <c r="DV74" i="23" s="1"/>
  <c r="BG74" i="23"/>
  <c r="BH74" i="23"/>
  <c r="BJ74" i="23"/>
  <c r="BI74" i="23" s="1"/>
  <c r="BK74" i="23"/>
  <c r="BL74" i="23"/>
  <c r="BM74" i="23"/>
  <c r="BO74" i="23"/>
  <c r="BP74" i="23"/>
  <c r="BQ74" i="23"/>
  <c r="BR74" i="23"/>
  <c r="BT74" i="23"/>
  <c r="BU74" i="23"/>
  <c r="BV74" i="23"/>
  <c r="BX74" i="23"/>
  <c r="BY74" i="23" s="1"/>
  <c r="BZ74" i="23"/>
  <c r="CA74" i="23"/>
  <c r="CD74" i="23"/>
  <c r="CE74" i="23"/>
  <c r="CF74" i="23"/>
  <c r="CG74" i="23"/>
  <c r="CK74" i="23"/>
  <c r="CN74" i="23"/>
  <c r="CS74" i="23"/>
  <c r="CT74" i="23"/>
  <c r="CU74" i="23"/>
  <c r="CV74" i="23"/>
  <c r="CW74" i="23"/>
  <c r="CX74" i="23"/>
  <c r="CY74" i="23"/>
  <c r="DA74" i="23"/>
  <c r="DB74" i="23"/>
  <c r="DC74" i="23" s="1"/>
  <c r="DD74" i="23"/>
  <c r="DE74" i="23"/>
  <c r="DH74" i="23"/>
  <c r="DJ74" i="23"/>
  <c r="DK74" i="23"/>
  <c r="DL74" i="23"/>
  <c r="DM74" i="23"/>
  <c r="DQ74" i="23"/>
  <c r="DR74" i="23"/>
  <c r="DS74" i="23"/>
  <c r="AV75" i="23"/>
  <c r="AW75" i="23"/>
  <c r="AX75" i="23"/>
  <c r="AY75" i="23"/>
  <c r="BA75" i="23"/>
  <c r="BB75" i="23"/>
  <c r="BC75" i="23"/>
  <c r="BD75" i="23"/>
  <c r="BG75" i="23"/>
  <c r="BH75" i="23"/>
  <c r="BJ75" i="23"/>
  <c r="BK75" i="23"/>
  <c r="BI75" i="23" s="1"/>
  <c r="BL75" i="23"/>
  <c r="BM75" i="23"/>
  <c r="BO75" i="23"/>
  <c r="BP75" i="23"/>
  <c r="BQ75" i="23"/>
  <c r="BR75" i="23"/>
  <c r="BT75" i="23"/>
  <c r="BU75" i="23"/>
  <c r="BV75" i="23"/>
  <c r="BX75" i="23"/>
  <c r="BZ75" i="23"/>
  <c r="CA75" i="23"/>
  <c r="CD75" i="23"/>
  <c r="CE75" i="23"/>
  <c r="CF75" i="23"/>
  <c r="CG75" i="23"/>
  <c r="CK75" i="23"/>
  <c r="CN75" i="23"/>
  <c r="CS75" i="23"/>
  <c r="CT75" i="23"/>
  <c r="CU75" i="23"/>
  <c r="CV75" i="23"/>
  <c r="CW75" i="23"/>
  <c r="CX75" i="23"/>
  <c r="CY75" i="23"/>
  <c r="DA75" i="23"/>
  <c r="DB75" i="23"/>
  <c r="DC75" i="23" s="1"/>
  <c r="DD75" i="23"/>
  <c r="DE75" i="23"/>
  <c r="DH75" i="23"/>
  <c r="DJ75" i="23"/>
  <c r="DK75" i="23"/>
  <c r="DL75" i="23"/>
  <c r="DM75" i="23"/>
  <c r="DQ75" i="23"/>
  <c r="DR75" i="23"/>
  <c r="DS75" i="23"/>
  <c r="AV76" i="23"/>
  <c r="AW76" i="23"/>
  <c r="AX76" i="23"/>
  <c r="AY76" i="23"/>
  <c r="BA76" i="23"/>
  <c r="BB76" i="23"/>
  <c r="BC76" i="23"/>
  <c r="BD76" i="23"/>
  <c r="BF76" i="23" s="1"/>
  <c r="DV76" i="23" s="1"/>
  <c r="BG76" i="23"/>
  <c r="BH76" i="23"/>
  <c r="BJ76" i="23"/>
  <c r="BK76" i="23"/>
  <c r="BL76" i="23"/>
  <c r="BM76" i="23"/>
  <c r="BO76" i="23"/>
  <c r="BP76" i="23"/>
  <c r="BQ76" i="23"/>
  <c r="BR76" i="23"/>
  <c r="BT76" i="23"/>
  <c r="BU76" i="23"/>
  <c r="BV76" i="23"/>
  <c r="BX76" i="23"/>
  <c r="BY76" i="23" s="1"/>
  <c r="BZ76" i="23"/>
  <c r="CA76" i="23"/>
  <c r="CD76" i="23"/>
  <c r="CE76" i="23"/>
  <c r="CF76" i="23"/>
  <c r="CG76" i="23"/>
  <c r="CK76" i="23"/>
  <c r="CN76" i="23"/>
  <c r="CS76" i="23"/>
  <c r="CT76" i="23"/>
  <c r="CU76" i="23"/>
  <c r="CV76" i="23"/>
  <c r="CW76" i="23"/>
  <c r="CX76" i="23"/>
  <c r="CY76" i="23"/>
  <c r="CZ76" i="23" s="1"/>
  <c r="EB76" i="23" s="1"/>
  <c r="EJ76" i="23" s="1"/>
  <c r="DA76" i="23"/>
  <c r="DB76" i="23"/>
  <c r="DC76" i="23" s="1"/>
  <c r="DD76" i="23"/>
  <c r="DE76" i="23"/>
  <c r="DI76" i="23" s="1"/>
  <c r="DH76" i="23"/>
  <c r="DJ76" i="23"/>
  <c r="DK76" i="23"/>
  <c r="DL76" i="23"/>
  <c r="DM76" i="23"/>
  <c r="DQ76" i="23"/>
  <c r="DR76" i="23"/>
  <c r="DT76" i="23" s="1"/>
  <c r="EF76" i="23" s="1"/>
  <c r="DS76" i="23"/>
  <c r="AV77" i="23"/>
  <c r="AW77" i="23"/>
  <c r="AX77" i="23"/>
  <c r="AY77" i="23"/>
  <c r="BA77" i="23"/>
  <c r="BB77" i="23"/>
  <c r="BC77" i="23"/>
  <c r="BD77" i="23"/>
  <c r="BF77" i="23" s="1"/>
  <c r="DV77" i="23" s="1"/>
  <c r="BG77" i="23"/>
  <c r="BH77" i="23"/>
  <c r="BJ77" i="23"/>
  <c r="BI77" i="23" s="1"/>
  <c r="BK77" i="23"/>
  <c r="BL77" i="23"/>
  <c r="BM77" i="23"/>
  <c r="BO77" i="23"/>
  <c r="BP77" i="23"/>
  <c r="BQ77" i="23"/>
  <c r="BR77" i="23"/>
  <c r="BT77" i="23"/>
  <c r="BU77" i="23"/>
  <c r="BV77" i="23"/>
  <c r="BX77" i="23"/>
  <c r="BY77" i="23" s="1"/>
  <c r="BZ77" i="23"/>
  <c r="CA77" i="23"/>
  <c r="CD77" i="23"/>
  <c r="CE77" i="23"/>
  <c r="CF77" i="23"/>
  <c r="CG77" i="23"/>
  <c r="CH77" i="23"/>
  <c r="CK77" i="23"/>
  <c r="CN77" i="23"/>
  <c r="CS77" i="23"/>
  <c r="CT77" i="23"/>
  <c r="CU77" i="23"/>
  <c r="CV77" i="23"/>
  <c r="CW77" i="23"/>
  <c r="CX77" i="23"/>
  <c r="CY77" i="23"/>
  <c r="DA77" i="23"/>
  <c r="DB77" i="23"/>
  <c r="DC77" i="23" s="1"/>
  <c r="DD77" i="23"/>
  <c r="DE77" i="23"/>
  <c r="DH77" i="23"/>
  <c r="DJ77" i="23"/>
  <c r="DK77" i="23"/>
  <c r="DL77" i="23"/>
  <c r="DM77" i="23"/>
  <c r="DQ77" i="23"/>
  <c r="DR77" i="23"/>
  <c r="DT77" i="23" s="1"/>
  <c r="EF77" i="23" s="1"/>
  <c r="DS77" i="23"/>
  <c r="AV78" i="23"/>
  <c r="AW78" i="23"/>
  <c r="AX78" i="23"/>
  <c r="AY78" i="23"/>
  <c r="BA78" i="23"/>
  <c r="BB78" i="23"/>
  <c r="BC78" i="23"/>
  <c r="BD78" i="23"/>
  <c r="BF78" i="23"/>
  <c r="DV78" i="23" s="1"/>
  <c r="BG78" i="23"/>
  <c r="BH78" i="23"/>
  <c r="BJ78" i="23"/>
  <c r="BK78" i="23"/>
  <c r="BL78" i="23"/>
  <c r="BM78" i="23"/>
  <c r="BO78" i="23"/>
  <c r="BP78" i="23"/>
  <c r="BQ78" i="23"/>
  <c r="BR78" i="23"/>
  <c r="BT78" i="23"/>
  <c r="BU78" i="23"/>
  <c r="BV78" i="23"/>
  <c r="BX78" i="23"/>
  <c r="BZ78" i="23"/>
  <c r="CA78" i="23"/>
  <c r="CD78" i="23"/>
  <c r="CE78" i="23"/>
  <c r="CF78" i="23"/>
  <c r="CG78" i="23"/>
  <c r="CK78" i="23"/>
  <c r="CN78" i="23"/>
  <c r="CS78" i="23"/>
  <c r="CT78" i="23"/>
  <c r="CU78" i="23"/>
  <c r="CV78" i="23"/>
  <c r="CW78" i="23"/>
  <c r="CX78" i="23"/>
  <c r="CY78" i="23"/>
  <c r="DA78" i="23"/>
  <c r="DB78" i="23"/>
  <c r="DC78" i="23" s="1"/>
  <c r="DD78" i="23"/>
  <c r="DE78" i="23"/>
  <c r="DH78" i="23"/>
  <c r="DI78" i="23" s="1"/>
  <c r="DJ78" i="23"/>
  <c r="DK78" i="23"/>
  <c r="DN78" i="23" s="1"/>
  <c r="DL78" i="23"/>
  <c r="DM78" i="23"/>
  <c r="DO78" i="23" s="1"/>
  <c r="DP78" i="23" s="1"/>
  <c r="EE78" i="23" s="1"/>
  <c r="DQ78" i="23"/>
  <c r="DR78" i="23"/>
  <c r="DS78" i="23"/>
  <c r="AV79" i="23"/>
  <c r="AZ79" i="23" s="1"/>
  <c r="DU79" i="23" s="1"/>
  <c r="AW79" i="23"/>
  <c r="AX79" i="23"/>
  <c r="AY79" i="23"/>
  <c r="BA79" i="23"/>
  <c r="BB79" i="23"/>
  <c r="BC79" i="23"/>
  <c r="BD79" i="23"/>
  <c r="BG79" i="23"/>
  <c r="BH79" i="23"/>
  <c r="BJ79" i="23"/>
  <c r="BK79" i="23"/>
  <c r="BL79" i="23"/>
  <c r="BM79" i="23"/>
  <c r="BO79" i="23"/>
  <c r="BP79" i="23"/>
  <c r="BQ79" i="23"/>
  <c r="BR79" i="23"/>
  <c r="BT79" i="23"/>
  <c r="BU79" i="23"/>
  <c r="BV79" i="23"/>
  <c r="BX79" i="23"/>
  <c r="BY79" i="23" s="1"/>
  <c r="BZ79" i="23"/>
  <c r="CA79" i="23"/>
  <c r="CD79" i="23"/>
  <c r="CE79" i="23"/>
  <c r="CF79" i="23"/>
  <c r="CG79" i="23"/>
  <c r="CH79" i="23"/>
  <c r="CK79" i="23"/>
  <c r="CN79" i="23"/>
  <c r="CS79" i="23"/>
  <c r="CT79" i="23"/>
  <c r="CU79" i="23"/>
  <c r="CV79" i="23"/>
  <c r="CW79" i="23"/>
  <c r="CX79" i="23"/>
  <c r="CY79" i="23"/>
  <c r="DA79" i="23"/>
  <c r="DB79" i="23"/>
  <c r="DC79" i="23" s="1"/>
  <c r="DD79" i="23"/>
  <c r="DE79" i="23"/>
  <c r="DH79" i="23"/>
  <c r="DJ79" i="23"/>
  <c r="DK79" i="23"/>
  <c r="DL79" i="23"/>
  <c r="DM79" i="23"/>
  <c r="DQ79" i="23"/>
  <c r="DR79" i="23"/>
  <c r="DS79" i="23"/>
  <c r="AV80" i="23"/>
  <c r="AW80" i="23"/>
  <c r="AX80" i="23"/>
  <c r="AY80" i="23"/>
  <c r="BA80" i="23"/>
  <c r="BB80" i="23"/>
  <c r="BC80" i="23"/>
  <c r="BD80" i="23"/>
  <c r="BF80" i="23" s="1"/>
  <c r="DV80" i="23" s="1"/>
  <c r="BG80" i="23"/>
  <c r="BH80" i="23"/>
  <c r="BI80" i="23"/>
  <c r="BJ80" i="23"/>
  <c r="BK80" i="23"/>
  <c r="BL80" i="23"/>
  <c r="BM80" i="23"/>
  <c r="BO80" i="23"/>
  <c r="BP80" i="23"/>
  <c r="BQ80" i="23"/>
  <c r="BR80" i="23"/>
  <c r="BT80" i="23"/>
  <c r="BU80" i="23"/>
  <c r="BV80" i="23"/>
  <c r="BX80" i="23"/>
  <c r="BY80" i="23" s="1"/>
  <c r="BZ80" i="23"/>
  <c r="CA80" i="23"/>
  <c r="CD80" i="23"/>
  <c r="CE80" i="23"/>
  <c r="CF80" i="23"/>
  <c r="CG80" i="23"/>
  <c r="CK80" i="23"/>
  <c r="CN80" i="23"/>
  <c r="CS80" i="23"/>
  <c r="CT80" i="23"/>
  <c r="CU80" i="23"/>
  <c r="CV80" i="23"/>
  <c r="CW80" i="23"/>
  <c r="CX80" i="23"/>
  <c r="CY80" i="23"/>
  <c r="DA80" i="23"/>
  <c r="DB80" i="23"/>
  <c r="DC80" i="23" s="1"/>
  <c r="DD80" i="23"/>
  <c r="DE80" i="23"/>
  <c r="DH80" i="23"/>
  <c r="DJ80" i="23"/>
  <c r="DK80" i="23"/>
  <c r="DL80" i="23"/>
  <c r="DM80" i="23"/>
  <c r="DQ80" i="23"/>
  <c r="DR80" i="23"/>
  <c r="DS80" i="23"/>
  <c r="DT80" i="23"/>
  <c r="EF80" i="23" s="1"/>
  <c r="AV81" i="23"/>
  <c r="AW81" i="23"/>
  <c r="AX81" i="23"/>
  <c r="AY81" i="23"/>
  <c r="CH81" i="23" s="1"/>
  <c r="BA81" i="23"/>
  <c r="BB81" i="23"/>
  <c r="BC81" i="23"/>
  <c r="BD81" i="23"/>
  <c r="BF81" i="23" s="1"/>
  <c r="DV81" i="23" s="1"/>
  <c r="BG81" i="23"/>
  <c r="BH81" i="23"/>
  <c r="BJ81" i="23"/>
  <c r="BK81" i="23"/>
  <c r="BL81" i="23"/>
  <c r="BM81" i="23"/>
  <c r="BO81" i="23"/>
  <c r="BP81" i="23"/>
  <c r="BQ81" i="23"/>
  <c r="BR81" i="23"/>
  <c r="BT81" i="23"/>
  <c r="BU81" i="23"/>
  <c r="BV81" i="23"/>
  <c r="BX81" i="23"/>
  <c r="BY81" i="23" s="1"/>
  <c r="BZ81" i="23"/>
  <c r="CA81" i="23"/>
  <c r="CD81" i="23"/>
  <c r="CE81" i="23"/>
  <c r="CF81" i="23"/>
  <c r="CG81" i="23"/>
  <c r="CK81" i="23"/>
  <c r="CN81" i="23"/>
  <c r="CS81" i="23"/>
  <c r="CT81" i="23"/>
  <c r="CU81" i="23"/>
  <c r="CV81" i="23"/>
  <c r="CW81" i="23"/>
  <c r="CX81" i="23"/>
  <c r="CZ81" i="23" s="1"/>
  <c r="EB81" i="23" s="1"/>
  <c r="CY81" i="23"/>
  <c r="DA81" i="23"/>
  <c r="DB81" i="23"/>
  <c r="DC81" i="23" s="1"/>
  <c r="DD81" i="23"/>
  <c r="DE81" i="23"/>
  <c r="DH81" i="23"/>
  <c r="DJ81" i="23"/>
  <c r="DK81" i="23"/>
  <c r="DL81" i="23"/>
  <c r="DM81" i="23"/>
  <c r="DQ81" i="23"/>
  <c r="DR81" i="23"/>
  <c r="DS81" i="23"/>
  <c r="AV82" i="23"/>
  <c r="AW82" i="23"/>
  <c r="AX82" i="23"/>
  <c r="AY82" i="23"/>
  <c r="BA82" i="23"/>
  <c r="BB82" i="23"/>
  <c r="BC82" i="23"/>
  <c r="BD82" i="23"/>
  <c r="BF82" i="23" s="1"/>
  <c r="DV82" i="23" s="1"/>
  <c r="BG82" i="23"/>
  <c r="BH82" i="23"/>
  <c r="BJ82" i="23"/>
  <c r="BK82" i="23"/>
  <c r="BL82" i="23"/>
  <c r="BM82" i="23"/>
  <c r="BO82" i="23"/>
  <c r="BP82" i="23"/>
  <c r="BQ82" i="23"/>
  <c r="BR82" i="23"/>
  <c r="BT82" i="23"/>
  <c r="BU82" i="23"/>
  <c r="BV82" i="23"/>
  <c r="BX82" i="23"/>
  <c r="BY82" i="23" s="1"/>
  <c r="BZ82" i="23"/>
  <c r="CA82" i="23"/>
  <c r="CD82" i="23"/>
  <c r="CE82" i="23"/>
  <c r="CF82" i="23"/>
  <c r="CG82" i="23"/>
  <c r="CK82" i="23"/>
  <c r="CN82" i="23"/>
  <c r="CS82" i="23"/>
  <c r="CT82" i="23"/>
  <c r="CU82" i="23"/>
  <c r="CV82" i="23"/>
  <c r="CZ82" i="23" s="1"/>
  <c r="EB82" i="23" s="1"/>
  <c r="CW82" i="23"/>
  <c r="CX82" i="23"/>
  <c r="CY82" i="23"/>
  <c r="DA82" i="23"/>
  <c r="DB82" i="23"/>
  <c r="DC82" i="23" s="1"/>
  <c r="DD82" i="23"/>
  <c r="DE82" i="23"/>
  <c r="DH82" i="23"/>
  <c r="DJ82" i="23"/>
  <c r="DK82" i="23"/>
  <c r="DN82" i="23" s="1"/>
  <c r="DL82" i="23"/>
  <c r="DM82" i="23"/>
  <c r="DQ82" i="23"/>
  <c r="DR82" i="23"/>
  <c r="DS82" i="23"/>
  <c r="AV83" i="23"/>
  <c r="AW83" i="23"/>
  <c r="AX83" i="23"/>
  <c r="AY83" i="23"/>
  <c r="BA83" i="23"/>
  <c r="BB83" i="23"/>
  <c r="BC83" i="23"/>
  <c r="BD83" i="23"/>
  <c r="BG83" i="23"/>
  <c r="BH83" i="23"/>
  <c r="BJ83" i="23"/>
  <c r="BK83" i="23"/>
  <c r="BL83" i="23"/>
  <c r="BM83" i="23"/>
  <c r="BO83" i="23"/>
  <c r="BP83" i="23"/>
  <c r="BQ83" i="23"/>
  <c r="BR83" i="23"/>
  <c r="BT83" i="23"/>
  <c r="BU83" i="23"/>
  <c r="BV83" i="23"/>
  <c r="BX83" i="23"/>
  <c r="BZ83" i="23"/>
  <c r="CA83" i="23"/>
  <c r="CD83" i="23"/>
  <c r="CE83" i="23"/>
  <c r="CF83" i="23"/>
  <c r="CG83" i="23"/>
  <c r="CK83" i="23"/>
  <c r="CN83" i="23"/>
  <c r="CS83" i="23"/>
  <c r="CT83" i="23"/>
  <c r="CU83" i="23"/>
  <c r="CV83" i="23"/>
  <c r="CW83" i="23"/>
  <c r="CX83" i="23"/>
  <c r="CY83" i="23"/>
  <c r="DA83" i="23"/>
  <c r="DB83" i="23"/>
  <c r="DC83" i="23" s="1"/>
  <c r="DD83" i="23"/>
  <c r="DE83" i="23"/>
  <c r="DH83" i="23"/>
  <c r="DI83" i="23" s="1"/>
  <c r="DJ83" i="23"/>
  <c r="DK83" i="23"/>
  <c r="DL83" i="23"/>
  <c r="DM83" i="23"/>
  <c r="DQ83" i="23"/>
  <c r="DR83" i="23"/>
  <c r="DS83" i="23"/>
  <c r="AV84" i="23"/>
  <c r="AW84" i="23"/>
  <c r="AX84" i="23"/>
  <c r="AZ84" i="23" s="1"/>
  <c r="DU84" i="23" s="1"/>
  <c r="AY84" i="23"/>
  <c r="BA84" i="23"/>
  <c r="BB84" i="23"/>
  <c r="BC84" i="23"/>
  <c r="BD84" i="23"/>
  <c r="BF84" i="23" s="1"/>
  <c r="DV84" i="23" s="1"/>
  <c r="BG84" i="23"/>
  <c r="BH84" i="23"/>
  <c r="BJ84" i="23"/>
  <c r="BI84" i="23" s="1"/>
  <c r="BK84" i="23"/>
  <c r="BL84" i="23"/>
  <c r="BM84" i="23"/>
  <c r="BO84" i="23"/>
  <c r="BP84" i="23"/>
  <c r="BQ84" i="23"/>
  <c r="BR84" i="23"/>
  <c r="BT84" i="23"/>
  <c r="BU84" i="23"/>
  <c r="BV84" i="23"/>
  <c r="BX84" i="23"/>
  <c r="BY84" i="23" s="1"/>
  <c r="BZ84" i="23"/>
  <c r="CA84" i="23"/>
  <c r="CD84" i="23"/>
  <c r="CE84" i="23"/>
  <c r="CF84" i="23"/>
  <c r="CG84" i="23"/>
  <c r="CK84" i="23"/>
  <c r="CN84" i="23"/>
  <c r="CS84" i="23"/>
  <c r="CT84" i="23"/>
  <c r="CU84" i="23"/>
  <c r="CV84" i="23"/>
  <c r="CW84" i="23"/>
  <c r="CX84" i="23"/>
  <c r="CY84" i="23"/>
  <c r="DA84" i="23"/>
  <c r="DB84" i="23"/>
  <c r="DC84" i="23" s="1"/>
  <c r="DD84" i="23"/>
  <c r="DE84" i="23"/>
  <c r="DH84" i="23"/>
  <c r="DJ84" i="23"/>
  <c r="DK84" i="23"/>
  <c r="DL84" i="23"/>
  <c r="DN84" i="23" s="1"/>
  <c r="DO84" i="23" s="1"/>
  <c r="DP84" i="23" s="1"/>
  <c r="EE84" i="23" s="1"/>
  <c r="DM84" i="23"/>
  <c r="DQ84" i="23"/>
  <c r="DR84" i="23"/>
  <c r="DS84" i="23"/>
  <c r="AV85" i="23"/>
  <c r="AW85" i="23"/>
  <c r="AX85" i="23"/>
  <c r="AY85" i="23"/>
  <c r="BA85" i="23"/>
  <c r="BB85" i="23"/>
  <c r="BC85" i="23"/>
  <c r="BD85" i="23"/>
  <c r="BF85" i="23" s="1"/>
  <c r="DV85" i="23" s="1"/>
  <c r="BG85" i="23"/>
  <c r="BH85" i="23"/>
  <c r="BJ85" i="23"/>
  <c r="BK85" i="23"/>
  <c r="BL85" i="23"/>
  <c r="BM85" i="23"/>
  <c r="BO85" i="23"/>
  <c r="BP85" i="23"/>
  <c r="BQ85" i="23"/>
  <c r="BR85" i="23"/>
  <c r="BT85" i="23"/>
  <c r="BU85" i="23"/>
  <c r="BV85" i="23"/>
  <c r="BX85" i="23"/>
  <c r="BY85" i="23" s="1"/>
  <c r="BZ85" i="23"/>
  <c r="CA85" i="23"/>
  <c r="CD85" i="23"/>
  <c r="CE85" i="23"/>
  <c r="CH85" i="23" s="1"/>
  <c r="CF85" i="23"/>
  <c r="CG85" i="23"/>
  <c r="CK85" i="23"/>
  <c r="CN85" i="23"/>
  <c r="CS85" i="23"/>
  <c r="CT85" i="23"/>
  <c r="CU85" i="23"/>
  <c r="CV85" i="23"/>
  <c r="CW85" i="23"/>
  <c r="CX85" i="23"/>
  <c r="CY85" i="23"/>
  <c r="DA85" i="23"/>
  <c r="DB85" i="23"/>
  <c r="DC85" i="23" s="1"/>
  <c r="DD85" i="23"/>
  <c r="DE85" i="23"/>
  <c r="DF85" i="23" s="1"/>
  <c r="DG85" i="23" s="1"/>
  <c r="DH85" i="23"/>
  <c r="DJ85" i="23"/>
  <c r="DK85" i="23"/>
  <c r="DL85" i="23"/>
  <c r="DM85" i="23"/>
  <c r="DQ85" i="23"/>
  <c r="DR85" i="23"/>
  <c r="DS85" i="23"/>
  <c r="AV86" i="23"/>
  <c r="AW86" i="23"/>
  <c r="AX86" i="23"/>
  <c r="AY86" i="23"/>
  <c r="BA86" i="23"/>
  <c r="BB86" i="23"/>
  <c r="BC86" i="23"/>
  <c r="BD86" i="23"/>
  <c r="BF86" i="23" s="1"/>
  <c r="DV86" i="23" s="1"/>
  <c r="BG86" i="23"/>
  <c r="BH86" i="23"/>
  <c r="BJ86" i="23"/>
  <c r="BK86" i="23"/>
  <c r="BL86" i="23"/>
  <c r="BM86" i="23"/>
  <c r="BO86" i="23"/>
  <c r="BP86" i="23"/>
  <c r="BQ86" i="23"/>
  <c r="BR86" i="23"/>
  <c r="BT86" i="23"/>
  <c r="BU86" i="23"/>
  <c r="BV86" i="23"/>
  <c r="BX86" i="23"/>
  <c r="BY86" i="23" s="1"/>
  <c r="BZ86" i="23"/>
  <c r="CA86" i="23"/>
  <c r="CD86" i="23"/>
  <c r="CE86" i="23"/>
  <c r="CF86" i="23"/>
  <c r="CG86" i="23"/>
  <c r="CK86" i="23"/>
  <c r="CN86" i="23"/>
  <c r="CS86" i="23"/>
  <c r="CT86" i="23"/>
  <c r="CU86" i="23"/>
  <c r="CV86" i="23"/>
  <c r="CW86" i="23"/>
  <c r="CX86" i="23"/>
  <c r="CY86" i="23"/>
  <c r="DA86" i="23"/>
  <c r="DB86" i="23"/>
  <c r="DC86" i="23" s="1"/>
  <c r="DD86" i="23"/>
  <c r="DE86" i="23"/>
  <c r="DH86" i="23"/>
  <c r="DJ86" i="23"/>
  <c r="DK86" i="23"/>
  <c r="DL86" i="23"/>
  <c r="DM86" i="23"/>
  <c r="DQ86" i="23"/>
  <c r="DR86" i="23"/>
  <c r="DS86" i="23"/>
  <c r="AV87" i="23"/>
  <c r="AW87" i="23"/>
  <c r="AX87" i="23"/>
  <c r="AY87" i="23"/>
  <c r="BA87" i="23"/>
  <c r="BB87" i="23"/>
  <c r="BC87" i="23"/>
  <c r="BD87" i="23"/>
  <c r="BF87" i="23" s="1"/>
  <c r="DV87" i="23" s="1"/>
  <c r="BE87" i="23"/>
  <c r="BG87" i="23"/>
  <c r="BH87" i="23"/>
  <c r="BJ87" i="23"/>
  <c r="BK87" i="23"/>
  <c r="BL87" i="23"/>
  <c r="BM87" i="23"/>
  <c r="BO87" i="23"/>
  <c r="BP87" i="23"/>
  <c r="BQ87" i="23"/>
  <c r="BR87" i="23"/>
  <c r="BT87" i="23"/>
  <c r="BU87" i="23"/>
  <c r="BV87" i="23"/>
  <c r="BX87" i="23"/>
  <c r="BY87" i="23" s="1"/>
  <c r="BZ87" i="23"/>
  <c r="CA87" i="23"/>
  <c r="CD87" i="23"/>
  <c r="CE87" i="23"/>
  <c r="CF87" i="23"/>
  <c r="CG87" i="23"/>
  <c r="CK87" i="23"/>
  <c r="CN87" i="23"/>
  <c r="CS87" i="23"/>
  <c r="CT87" i="23"/>
  <c r="CU87" i="23"/>
  <c r="CV87" i="23"/>
  <c r="CW87" i="23"/>
  <c r="CX87" i="23"/>
  <c r="CY87" i="23"/>
  <c r="DA87" i="23"/>
  <c r="DB87" i="23"/>
  <c r="DC87" i="23" s="1"/>
  <c r="DD87" i="23"/>
  <c r="DE87" i="23"/>
  <c r="DH87" i="23"/>
  <c r="DJ87" i="23"/>
  <c r="DK87" i="23"/>
  <c r="DL87" i="23"/>
  <c r="DM87" i="23"/>
  <c r="DQ87" i="23"/>
  <c r="DR87" i="23"/>
  <c r="DS87" i="23"/>
  <c r="AV88" i="23"/>
  <c r="AW88" i="23"/>
  <c r="AX88" i="23"/>
  <c r="AY88" i="23"/>
  <c r="BA88" i="23"/>
  <c r="BB88" i="23"/>
  <c r="BC88" i="23"/>
  <c r="BD88" i="23"/>
  <c r="BF88" i="23" s="1"/>
  <c r="DV88" i="23" s="1"/>
  <c r="BG88" i="23"/>
  <c r="BH88" i="23"/>
  <c r="BI88" i="23"/>
  <c r="BJ88" i="23"/>
  <c r="BK88" i="23"/>
  <c r="BL88" i="23"/>
  <c r="BM88" i="23"/>
  <c r="BO88" i="23"/>
  <c r="BP88" i="23"/>
  <c r="BQ88" i="23"/>
  <c r="BR88" i="23"/>
  <c r="BT88" i="23"/>
  <c r="BU88" i="23"/>
  <c r="BV88" i="23"/>
  <c r="BX88" i="23"/>
  <c r="BY88" i="23" s="1"/>
  <c r="BZ88" i="23"/>
  <c r="CA88" i="23"/>
  <c r="CD88" i="23"/>
  <c r="CE88" i="23"/>
  <c r="CF88" i="23"/>
  <c r="CG88" i="23"/>
  <c r="CK88" i="23"/>
  <c r="CN88" i="23"/>
  <c r="CS88" i="23"/>
  <c r="CT88" i="23"/>
  <c r="CU88" i="23"/>
  <c r="CV88" i="23"/>
  <c r="CW88" i="23"/>
  <c r="CX88" i="23"/>
  <c r="CY88" i="23"/>
  <c r="DA88" i="23"/>
  <c r="DB88" i="23"/>
  <c r="DC88" i="23" s="1"/>
  <c r="DD88" i="23"/>
  <c r="DE88" i="23"/>
  <c r="DH88" i="23"/>
  <c r="DJ88" i="23"/>
  <c r="DK88" i="23"/>
  <c r="DL88" i="23"/>
  <c r="DM88" i="23"/>
  <c r="DQ88" i="23"/>
  <c r="DR88" i="23"/>
  <c r="DS88" i="23"/>
  <c r="AV89" i="23"/>
  <c r="AW89" i="23"/>
  <c r="AX89" i="23"/>
  <c r="AY89" i="23"/>
  <c r="BA89" i="23"/>
  <c r="BB89" i="23"/>
  <c r="BC89" i="23"/>
  <c r="BD89" i="23"/>
  <c r="BG89" i="23"/>
  <c r="BH89" i="23"/>
  <c r="BJ89" i="23"/>
  <c r="BK89" i="23"/>
  <c r="BI89" i="23" s="1"/>
  <c r="BL89" i="23"/>
  <c r="BM89" i="23"/>
  <c r="BO89" i="23"/>
  <c r="BP89" i="23"/>
  <c r="BQ89" i="23"/>
  <c r="BR89" i="23"/>
  <c r="BT89" i="23"/>
  <c r="BU89" i="23"/>
  <c r="BV89" i="23"/>
  <c r="BX89" i="23"/>
  <c r="BY89" i="23" s="1"/>
  <c r="BZ89" i="23"/>
  <c r="CA89" i="23"/>
  <c r="CD89" i="23"/>
  <c r="CE89" i="23"/>
  <c r="CF89" i="23"/>
  <c r="CG89" i="23"/>
  <c r="CK89" i="23"/>
  <c r="CN89" i="23"/>
  <c r="CS89" i="23"/>
  <c r="CT89" i="23"/>
  <c r="CU89" i="23"/>
  <c r="CV89" i="23"/>
  <c r="CW89" i="23"/>
  <c r="CX89" i="23"/>
  <c r="CY89" i="23"/>
  <c r="DA89" i="23"/>
  <c r="DB89" i="23"/>
  <c r="DC89" i="23" s="1"/>
  <c r="DD89" i="23"/>
  <c r="DE89" i="23"/>
  <c r="DH89" i="23"/>
  <c r="DJ89" i="23"/>
  <c r="DK89" i="23"/>
  <c r="DL89" i="23"/>
  <c r="DM89" i="23"/>
  <c r="DQ89" i="23"/>
  <c r="DR89" i="23"/>
  <c r="DS89" i="23"/>
  <c r="AV90" i="23"/>
  <c r="AW90" i="23"/>
  <c r="AX90" i="23"/>
  <c r="AY90" i="23"/>
  <c r="BA90" i="23"/>
  <c r="BB90" i="23"/>
  <c r="BC90" i="23"/>
  <c r="BD90" i="23"/>
  <c r="BF90" i="23"/>
  <c r="DV90" i="23" s="1"/>
  <c r="BG90" i="23"/>
  <c r="BH90" i="23"/>
  <c r="BJ90" i="23"/>
  <c r="BK90" i="23"/>
  <c r="BL90" i="23"/>
  <c r="BM90" i="23"/>
  <c r="BO90" i="23"/>
  <c r="BP90" i="23"/>
  <c r="BQ90" i="23"/>
  <c r="BR90" i="23"/>
  <c r="BT90" i="23"/>
  <c r="BU90" i="23"/>
  <c r="BV90" i="23"/>
  <c r="BX90" i="23"/>
  <c r="BY90" i="23" s="1"/>
  <c r="BZ90" i="23"/>
  <c r="CA90" i="23"/>
  <c r="CD90" i="23"/>
  <c r="CE90" i="23"/>
  <c r="CF90" i="23"/>
  <c r="CG90" i="23"/>
  <c r="CK90" i="23"/>
  <c r="CN90" i="23"/>
  <c r="CS90" i="23"/>
  <c r="CT90" i="23"/>
  <c r="CU90" i="23"/>
  <c r="CV90" i="23"/>
  <c r="CW90" i="23"/>
  <c r="CX90" i="23"/>
  <c r="CY90" i="23"/>
  <c r="DA90" i="23"/>
  <c r="DB90" i="23"/>
  <c r="DC90" i="23" s="1"/>
  <c r="DD90" i="23"/>
  <c r="DE90" i="23"/>
  <c r="DH90" i="23"/>
  <c r="DJ90" i="23"/>
  <c r="DK90" i="23"/>
  <c r="DN90" i="23" s="1"/>
  <c r="DO90" i="23" s="1"/>
  <c r="DP90" i="23" s="1"/>
  <c r="EE90" i="23" s="1"/>
  <c r="DL90" i="23"/>
  <c r="DM90" i="23"/>
  <c r="DQ90" i="23"/>
  <c r="DT90" i="23" s="1"/>
  <c r="EF90" i="23" s="1"/>
  <c r="DR90" i="23"/>
  <c r="DS90" i="23"/>
  <c r="AV91" i="23"/>
  <c r="AZ91" i="23" s="1"/>
  <c r="DU91" i="23" s="1"/>
  <c r="AW91" i="23"/>
  <c r="AX91" i="23"/>
  <c r="AY91" i="23"/>
  <c r="BA91" i="23"/>
  <c r="BB91" i="23"/>
  <c r="BC91" i="23"/>
  <c r="BD91" i="23"/>
  <c r="BG91" i="23"/>
  <c r="BH91" i="23"/>
  <c r="BJ91" i="23"/>
  <c r="BK91" i="23"/>
  <c r="BL91" i="23"/>
  <c r="BM91" i="23"/>
  <c r="BO91" i="23"/>
  <c r="BP91" i="23"/>
  <c r="BQ91" i="23"/>
  <c r="BR91" i="23"/>
  <c r="BT91" i="23"/>
  <c r="BU91" i="23"/>
  <c r="BV91" i="23"/>
  <c r="BX91" i="23"/>
  <c r="BY91" i="23" s="1"/>
  <c r="BZ91" i="23"/>
  <c r="CA91" i="23"/>
  <c r="CB91" i="23" s="1"/>
  <c r="CD91" i="23"/>
  <c r="CE91" i="23"/>
  <c r="CF91" i="23"/>
  <c r="CG91" i="23"/>
  <c r="CK91" i="23"/>
  <c r="CN91" i="23"/>
  <c r="CS91" i="23"/>
  <c r="CT91" i="23"/>
  <c r="CU91" i="23"/>
  <c r="CV91" i="23"/>
  <c r="CW91" i="23"/>
  <c r="CX91" i="23"/>
  <c r="CY91" i="23"/>
  <c r="DA91" i="23"/>
  <c r="DB91" i="23"/>
  <c r="DC91" i="23" s="1"/>
  <c r="DD91" i="23"/>
  <c r="DE91" i="23"/>
  <c r="DH91" i="23"/>
  <c r="DJ91" i="23"/>
  <c r="DK91" i="23"/>
  <c r="DL91" i="23"/>
  <c r="DM91" i="23"/>
  <c r="DQ91" i="23"/>
  <c r="DR91" i="23"/>
  <c r="DS91" i="23"/>
  <c r="N114" i="24"/>
  <c r="M114" i="24"/>
  <c r="K114" i="24"/>
  <c r="N113" i="24"/>
  <c r="M113" i="24"/>
  <c r="K113" i="24"/>
  <c r="N112" i="24"/>
  <c r="M112" i="24"/>
  <c r="K112" i="24"/>
  <c r="N111" i="24"/>
  <c r="M111" i="24"/>
  <c r="K111" i="24"/>
  <c r="DT91" i="23" l="1"/>
  <c r="EF91" i="23" s="1"/>
  <c r="DN91" i="23"/>
  <c r="DO91" i="23" s="1"/>
  <c r="DP91" i="23" s="1"/>
  <c r="EE91" i="23" s="1"/>
  <c r="CZ91" i="23"/>
  <c r="EB91" i="23" s="1"/>
  <c r="CB89" i="23"/>
  <c r="CZ21" i="23"/>
  <c r="EB21" i="23" s="1"/>
  <c r="DO18" i="23"/>
  <c r="DP18" i="23" s="1"/>
  <c r="EE18" i="23" s="1"/>
  <c r="CC18" i="23"/>
  <c r="DN16" i="23"/>
  <c r="DO16" i="23" s="1"/>
  <c r="DP16" i="23" s="1"/>
  <c r="EE16" i="23" s="1"/>
  <c r="CC91" i="23"/>
  <c r="DI90" i="23"/>
  <c r="DN89" i="23"/>
  <c r="CZ89" i="23"/>
  <c r="EB89" i="23" s="1"/>
  <c r="CZ86" i="23"/>
  <c r="EB86" i="23" s="1"/>
  <c r="EJ86" i="23" s="1"/>
  <c r="AZ86" i="23"/>
  <c r="DU86" i="23" s="1"/>
  <c r="AZ85" i="23"/>
  <c r="DU85" i="23" s="1"/>
  <c r="DT84" i="23"/>
  <c r="EF84" i="23" s="1"/>
  <c r="DT83" i="23"/>
  <c r="EF83" i="23" s="1"/>
  <c r="BI81" i="23"/>
  <c r="BN81" i="23" s="1"/>
  <c r="DW81" i="23" s="1"/>
  <c r="DN79" i="23"/>
  <c r="DO79" i="23" s="1"/>
  <c r="DP79" i="23" s="1"/>
  <c r="EE79" i="23" s="1"/>
  <c r="CI79" i="23"/>
  <c r="DF78" i="23"/>
  <c r="DG78" i="23" s="1"/>
  <c r="CI76" i="23"/>
  <c r="BI76" i="23"/>
  <c r="CZ75" i="23"/>
  <c r="EB75" i="23" s="1"/>
  <c r="BS74" i="23"/>
  <c r="DI70" i="23"/>
  <c r="CC68" i="23"/>
  <c r="DI59" i="23"/>
  <c r="AZ59" i="23"/>
  <c r="DU59" i="23" s="1"/>
  <c r="BN58" i="23"/>
  <c r="DW58" i="23" s="1"/>
  <c r="DT57" i="23"/>
  <c r="EF57" i="23" s="1"/>
  <c r="DI52" i="23"/>
  <c r="CH51" i="23"/>
  <c r="BE50" i="23"/>
  <c r="BI48" i="23"/>
  <c r="BI42" i="23"/>
  <c r="AZ40" i="23"/>
  <c r="DU40" i="23" s="1"/>
  <c r="BE39" i="23"/>
  <c r="DI38" i="23"/>
  <c r="BI34" i="23"/>
  <c r="BN34" i="23" s="1"/>
  <c r="DW34" i="23" s="1"/>
  <c r="CI32" i="23"/>
  <c r="AZ32" i="23"/>
  <c r="DU32" i="23" s="1"/>
  <c r="DI30" i="23"/>
  <c r="DN26" i="23"/>
  <c r="DO26" i="23" s="1"/>
  <c r="DP26" i="23" s="1"/>
  <c r="EE26" i="23" s="1"/>
  <c r="CZ26" i="23"/>
  <c r="EB26" i="23" s="1"/>
  <c r="DT24" i="23"/>
  <c r="EF24" i="23" s="1"/>
  <c r="DN24" i="23"/>
  <c r="BI22" i="23"/>
  <c r="CI86" i="23"/>
  <c r="BS83" i="23"/>
  <c r="CI82" i="23"/>
  <c r="EK82" i="23"/>
  <c r="CZ79" i="23"/>
  <c r="EB79" i="23" s="1"/>
  <c r="AZ78" i="23"/>
  <c r="DU78" i="23" s="1"/>
  <c r="BE75" i="23"/>
  <c r="CB73" i="23"/>
  <c r="BW71" i="23"/>
  <c r="DY71" i="23" s="1"/>
  <c r="AZ69" i="23"/>
  <c r="DU69" i="23" s="1"/>
  <c r="AZ68" i="23"/>
  <c r="DU68" i="23" s="1"/>
  <c r="CZ67" i="23"/>
  <c r="EB67" i="23" s="1"/>
  <c r="DN64" i="23"/>
  <c r="CZ64" i="23"/>
  <c r="EB64" i="23" s="1"/>
  <c r="DN59" i="23"/>
  <c r="DO59" i="23" s="1"/>
  <c r="DP59" i="23" s="1"/>
  <c r="EE59" i="23" s="1"/>
  <c r="BW57" i="23"/>
  <c r="DY57" i="23" s="1"/>
  <c r="AZ57" i="23"/>
  <c r="DU57" i="23" s="1"/>
  <c r="CZ50" i="23"/>
  <c r="EB50" i="23" s="1"/>
  <c r="DT49" i="23"/>
  <c r="EF49" i="23" s="1"/>
  <c r="CH48" i="23"/>
  <c r="DN43" i="23"/>
  <c r="DO43" i="23" s="1"/>
  <c r="DP43" i="23" s="1"/>
  <c r="EE43" i="23" s="1"/>
  <c r="DI42" i="23"/>
  <c r="BS40" i="23"/>
  <c r="DT37" i="23"/>
  <c r="EF37" i="23" s="1"/>
  <c r="DN37" i="23"/>
  <c r="BW37" i="23"/>
  <c r="DY37" i="23" s="1"/>
  <c r="DF34" i="23"/>
  <c r="DG34" i="23" s="1"/>
  <c r="DN32" i="23"/>
  <c r="DO32" i="23" s="1"/>
  <c r="DP32" i="23" s="1"/>
  <c r="EE32" i="23" s="1"/>
  <c r="BI29" i="23"/>
  <c r="CB28" i="23"/>
  <c r="CH26" i="23"/>
  <c r="CZ24" i="23"/>
  <c r="EB24" i="23" s="1"/>
  <c r="DF22" i="23"/>
  <c r="DG22" i="23" s="1"/>
  <c r="CI16" i="23"/>
  <c r="BI90" i="23"/>
  <c r="BN89" i="23"/>
  <c r="DW89" i="23" s="1"/>
  <c r="CZ87" i="23"/>
  <c r="EB87" i="23" s="1"/>
  <c r="DT86" i="23"/>
  <c r="EF86" i="23" s="1"/>
  <c r="CH86" i="23"/>
  <c r="BI86" i="23"/>
  <c r="CI85" i="23"/>
  <c r="CH84" i="23"/>
  <c r="DT78" i="23"/>
  <c r="EF78" i="23" s="1"/>
  <c r="DT75" i="23"/>
  <c r="EF75" i="23" s="1"/>
  <c r="DN75" i="23"/>
  <c r="DO75" i="23" s="1"/>
  <c r="DP75" i="23" s="1"/>
  <c r="EE75" i="23" s="1"/>
  <c r="DF73" i="23"/>
  <c r="DG73" i="23" s="1"/>
  <c r="CZ73" i="23"/>
  <c r="EB73" i="23" s="1"/>
  <c r="EK73" i="23" s="1"/>
  <c r="CH71" i="23"/>
  <c r="DN66" i="23"/>
  <c r="AZ66" i="23"/>
  <c r="DU66" i="23" s="1"/>
  <c r="DO64" i="23"/>
  <c r="DP64" i="23" s="1"/>
  <c r="EE64" i="23" s="1"/>
  <c r="DI64" i="23"/>
  <c r="DF64" i="23"/>
  <c r="DG64" i="23" s="1"/>
  <c r="BI64" i="23"/>
  <c r="AZ64" i="23"/>
  <c r="DU64" i="23" s="1"/>
  <c r="DN62" i="23"/>
  <c r="DO62" i="23" s="1"/>
  <c r="DP62" i="23" s="1"/>
  <c r="EE62" i="23" s="1"/>
  <c r="BS62" i="23"/>
  <c r="BW61" i="23"/>
  <c r="DY61" i="23" s="1"/>
  <c r="BW60" i="23"/>
  <c r="DY60" i="23" s="1"/>
  <c r="BI60" i="23"/>
  <c r="AZ60" i="23"/>
  <c r="DU60" i="23" s="1"/>
  <c r="BI59" i="23"/>
  <c r="BE58" i="23"/>
  <c r="BF58" i="23" s="1"/>
  <c r="DV58" i="23" s="1"/>
  <c r="DF57" i="23"/>
  <c r="DG57" i="23" s="1"/>
  <c r="BS57" i="23"/>
  <c r="DN56" i="23"/>
  <c r="DO56" i="23" s="1"/>
  <c r="DP56" i="23" s="1"/>
  <c r="EE56" i="23" s="1"/>
  <c r="CZ56" i="23"/>
  <c r="EB56" i="23" s="1"/>
  <c r="CI56" i="23"/>
  <c r="CB56" i="23"/>
  <c r="AZ55" i="23"/>
  <c r="DU55" i="23" s="1"/>
  <c r="BI52" i="23"/>
  <c r="CC51" i="23"/>
  <c r="BE51" i="23"/>
  <c r="AZ51" i="23"/>
  <c r="DU51" i="23" s="1"/>
  <c r="BN50" i="23"/>
  <c r="DW50" i="23" s="1"/>
  <c r="DT48" i="23"/>
  <c r="EF48" i="23" s="1"/>
  <c r="DN48" i="23"/>
  <c r="DO48" i="23" s="1"/>
  <c r="DP48" i="23" s="1"/>
  <c r="EE48" i="23" s="1"/>
  <c r="DT43" i="23"/>
  <c r="EF43" i="23" s="1"/>
  <c r="DT40" i="23"/>
  <c r="EF40" i="23" s="1"/>
  <c r="CI39" i="23"/>
  <c r="BI36" i="23"/>
  <c r="DI35" i="23"/>
  <c r="BE33" i="23"/>
  <c r="DI31" i="23"/>
  <c r="DT30" i="23"/>
  <c r="EF30" i="23" s="1"/>
  <c r="CH30" i="23"/>
  <c r="BI30" i="23"/>
  <c r="BN30" i="23" s="1"/>
  <c r="DW30" i="23" s="1"/>
  <c r="CZ28" i="23"/>
  <c r="EB28" i="23" s="1"/>
  <c r="BE25" i="23"/>
  <c r="DI24" i="23"/>
  <c r="CH21" i="23"/>
  <c r="AZ21" i="23"/>
  <c r="DU21" i="23" s="1"/>
  <c r="BW20" i="23"/>
  <c r="DY20" i="23" s="1"/>
  <c r="BN20" i="23"/>
  <c r="DW20" i="23" s="1"/>
  <c r="AZ16" i="23"/>
  <c r="DU16" i="23" s="1"/>
  <c r="CC15" i="23"/>
  <c r="BW15" i="23"/>
  <c r="DY15" i="23" s="1"/>
  <c r="DN14" i="23"/>
  <c r="DO14" i="23" s="1"/>
  <c r="DP14" i="23" s="1"/>
  <c r="EE14" i="23" s="1"/>
  <c r="DO13" i="23"/>
  <c r="DP13" i="23" s="1"/>
  <c r="EE13" i="23" s="1"/>
  <c r="DT12" i="23"/>
  <c r="EF12" i="23" s="1"/>
  <c r="DF88" i="23"/>
  <c r="DG88" i="23" s="1"/>
  <c r="BW88" i="23"/>
  <c r="DY88" i="23" s="1"/>
  <c r="BW86" i="23"/>
  <c r="DY86" i="23" s="1"/>
  <c r="DF79" i="23"/>
  <c r="DG79" i="23" s="1"/>
  <c r="BW74" i="23"/>
  <c r="DY74" i="23" s="1"/>
  <c r="CC73" i="23"/>
  <c r="BW67" i="23"/>
  <c r="DY67" i="23" s="1"/>
  <c r="CB64" i="23"/>
  <c r="BW55" i="23"/>
  <c r="DY55" i="23" s="1"/>
  <c r="DF48" i="23"/>
  <c r="DG48" i="23" s="1"/>
  <c r="DF44" i="23"/>
  <c r="DG44" i="23" s="1"/>
  <c r="BW40" i="23"/>
  <c r="DY40" i="23" s="1"/>
  <c r="BW39" i="23"/>
  <c r="DY39" i="23" s="1"/>
  <c r="DF36" i="23"/>
  <c r="DG36" i="23" s="1"/>
  <c r="CC34" i="23"/>
  <c r="BW32" i="23"/>
  <c r="DY32" i="23" s="1"/>
  <c r="DF25" i="23"/>
  <c r="DG25" i="23" s="1"/>
  <c r="BW24" i="23"/>
  <c r="DY24" i="23" s="1"/>
  <c r="DF16" i="23"/>
  <c r="DG16" i="23" s="1"/>
  <c r="EJ87" i="23"/>
  <c r="EK87" i="23"/>
  <c r="EK46" i="23"/>
  <c r="BS91" i="23"/>
  <c r="DO89" i="23"/>
  <c r="DP89" i="23" s="1"/>
  <c r="EE89" i="23" s="1"/>
  <c r="BE89" i="23"/>
  <c r="BF89" i="23" s="1"/>
  <c r="DV89" i="23" s="1"/>
  <c r="CZ88" i="23"/>
  <c r="EB88" i="23" s="1"/>
  <c r="EJ88" i="23" s="1"/>
  <c r="DT85" i="23"/>
  <c r="EF85" i="23" s="1"/>
  <c r="BS85" i="23"/>
  <c r="DI84" i="23"/>
  <c r="BE84" i="23"/>
  <c r="BI83" i="23"/>
  <c r="BN83" i="23" s="1"/>
  <c r="DW83" i="23" s="1"/>
  <c r="DO82" i="23"/>
  <c r="DP82" i="23" s="1"/>
  <c r="EE82" i="23" s="1"/>
  <c r="BI82" i="23"/>
  <c r="BN82" i="23" s="1"/>
  <c r="DW82" i="23" s="1"/>
  <c r="CZ80" i="23"/>
  <c r="EB80" i="23" s="1"/>
  <c r="BE80" i="23"/>
  <c r="AZ77" i="23"/>
  <c r="DU77" i="23" s="1"/>
  <c r="BN76" i="23"/>
  <c r="DW76" i="23" s="1"/>
  <c r="DN72" i="23"/>
  <c r="DO72" i="23" s="1"/>
  <c r="DP72" i="23" s="1"/>
  <c r="EE72" i="23" s="1"/>
  <c r="DN68" i="23"/>
  <c r="DO68" i="23" s="1"/>
  <c r="DP68" i="23" s="1"/>
  <c r="EE68" i="23" s="1"/>
  <c r="BS67" i="23"/>
  <c r="CZ65" i="23"/>
  <c r="EB65" i="23" s="1"/>
  <c r="EJ65" i="23" s="1"/>
  <c r="BS60" i="23"/>
  <c r="DI53" i="23"/>
  <c r="DN52" i="23"/>
  <c r="DO52" i="23" s="1"/>
  <c r="DP52" i="23" s="1"/>
  <c r="EE52" i="23" s="1"/>
  <c r="BS49" i="23"/>
  <c r="AZ47" i="23"/>
  <c r="DU47" i="23" s="1"/>
  <c r="DO40" i="23"/>
  <c r="DP40" i="23" s="1"/>
  <c r="EE40" i="23" s="1"/>
  <c r="CH37" i="23"/>
  <c r="BE31" i="23"/>
  <c r="BF31" i="23"/>
  <c r="DV31" i="23" s="1"/>
  <c r="CI91" i="23"/>
  <c r="BI91" i="23"/>
  <c r="BN91" i="23" s="1"/>
  <c r="DW91" i="23" s="1"/>
  <c r="EQ91" i="23" s="1"/>
  <c r="AZ90" i="23"/>
  <c r="DU90" i="23" s="1"/>
  <c r="DF89" i="23"/>
  <c r="DG89" i="23" s="1"/>
  <c r="BW89" i="23"/>
  <c r="DY89" i="23" s="1"/>
  <c r="EM89" i="23" s="1"/>
  <c r="BS89" i="23"/>
  <c r="DT88" i="23"/>
  <c r="EF88" i="23" s="1"/>
  <c r="DN88" i="23"/>
  <c r="DO88" i="23" s="1"/>
  <c r="DP88" i="23" s="1"/>
  <c r="EE88" i="23" s="1"/>
  <c r="DT87" i="23"/>
  <c r="EF87" i="23" s="1"/>
  <c r="BW87" i="23"/>
  <c r="DY87" i="23" s="1"/>
  <c r="BI87" i="23"/>
  <c r="DN86" i="23"/>
  <c r="DO86" i="23" s="1"/>
  <c r="DP86" i="23" s="1"/>
  <c r="EE86" i="23" s="1"/>
  <c r="BN86" i="23"/>
  <c r="DW86" i="23" s="1"/>
  <c r="DN85" i="23"/>
  <c r="DO85" i="23" s="1"/>
  <c r="DP85" i="23" s="1"/>
  <c r="EE85" i="23" s="1"/>
  <c r="CZ85" i="23"/>
  <c r="EB85" i="23" s="1"/>
  <c r="EJ85" i="23" s="1"/>
  <c r="BN84" i="23"/>
  <c r="DW84" i="23" s="1"/>
  <c r="DF83" i="23"/>
  <c r="DG83" i="23" s="1"/>
  <c r="CZ83" i="23"/>
  <c r="EB83" i="23" s="1"/>
  <c r="BW83" i="23"/>
  <c r="DY83" i="23" s="1"/>
  <c r="CH82" i="23"/>
  <c r="BS82" i="23"/>
  <c r="CI81" i="23"/>
  <c r="CC81" i="23"/>
  <c r="DI80" i="23"/>
  <c r="DT79" i="23"/>
  <c r="EF79" i="23" s="1"/>
  <c r="DI79" i="23"/>
  <c r="BW79" i="23"/>
  <c r="DY79" i="23" s="1"/>
  <c r="BI79" i="23"/>
  <c r="BN79" i="23" s="1"/>
  <c r="DW79" i="23" s="1"/>
  <c r="BS78" i="23"/>
  <c r="BI78" i="23"/>
  <c r="BN78" i="23" s="1"/>
  <c r="DW78" i="23" s="1"/>
  <c r="EP78" i="23" s="1"/>
  <c r="CZ77" i="23"/>
  <c r="EB77" i="23" s="1"/>
  <c r="EK77" i="23" s="1"/>
  <c r="BN77" i="23"/>
  <c r="DW77" i="23" s="1"/>
  <c r="BN75" i="23"/>
  <c r="DW75" i="23" s="1"/>
  <c r="DT74" i="23"/>
  <c r="EF74" i="23" s="1"/>
  <c r="DN74" i="23"/>
  <c r="DO74" i="23" s="1"/>
  <c r="DP74" i="23" s="1"/>
  <c r="EE74" i="23" s="1"/>
  <c r="AZ74" i="23"/>
  <c r="DU74" i="23" s="1"/>
  <c r="CZ71" i="23"/>
  <c r="EB71" i="23" s="1"/>
  <c r="AZ71" i="23"/>
  <c r="DU71" i="23" s="1"/>
  <c r="BE70" i="23"/>
  <c r="BN69" i="23"/>
  <c r="DW69" i="23" s="1"/>
  <c r="CZ66" i="23"/>
  <c r="EB66" i="23" s="1"/>
  <c r="CI64" i="23"/>
  <c r="BS64" i="23"/>
  <c r="BN64" i="23"/>
  <c r="DW64" i="23" s="1"/>
  <c r="BE64" i="23"/>
  <c r="CZ62" i="23"/>
  <c r="EB62" i="23" s="1"/>
  <c r="AZ62" i="23"/>
  <c r="DU62" i="23" s="1"/>
  <c r="DI61" i="23"/>
  <c r="BS61" i="23"/>
  <c r="BS59" i="23"/>
  <c r="BI55" i="23"/>
  <c r="BN55" i="23" s="1"/>
  <c r="DW55" i="23" s="1"/>
  <c r="CZ54" i="23"/>
  <c r="EB54" i="23" s="1"/>
  <c r="CI54" i="23"/>
  <c r="BI53" i="23"/>
  <c r="BN53" i="23" s="1"/>
  <c r="DW53" i="23" s="1"/>
  <c r="CB51" i="23"/>
  <c r="BS50" i="23"/>
  <c r="EK50" i="23"/>
  <c r="CZ48" i="23"/>
  <c r="EB48" i="23" s="1"/>
  <c r="CI48" i="23"/>
  <c r="DN46" i="23"/>
  <c r="DO46" i="23" s="1"/>
  <c r="DP46" i="23" s="1"/>
  <c r="EE46" i="23" s="1"/>
  <c r="BI46" i="23"/>
  <c r="BN46" i="23" s="1"/>
  <c r="DW46" i="23" s="1"/>
  <c r="BS43" i="23"/>
  <c r="BE38" i="23"/>
  <c r="BF38" i="23"/>
  <c r="DV38" i="23" s="1"/>
  <c r="EJ82" i="23"/>
  <c r="EL82" i="23" s="1"/>
  <c r="BF61" i="23"/>
  <c r="DV61" i="23" s="1"/>
  <c r="BE61" i="23"/>
  <c r="CI60" i="23"/>
  <c r="CH60" i="23"/>
  <c r="CZ31" i="23"/>
  <c r="EB31" i="23" s="1"/>
  <c r="EJ31" i="23" s="1"/>
  <c r="BN90" i="23"/>
  <c r="DW90" i="23" s="1"/>
  <c r="CC89" i="23"/>
  <c r="CP89" i="23" s="1"/>
  <c r="CR89" i="23" s="1"/>
  <c r="DI88" i="23"/>
  <c r="BE88" i="23"/>
  <c r="DN87" i="23"/>
  <c r="DO87" i="23" s="1"/>
  <c r="DP87" i="23" s="1"/>
  <c r="EE87" i="23" s="1"/>
  <c r="DI86" i="23"/>
  <c r="DF86" i="23"/>
  <c r="DG86" i="23" s="1"/>
  <c r="BE86" i="23"/>
  <c r="CI84" i="23"/>
  <c r="BS84" i="23"/>
  <c r="AZ83" i="23"/>
  <c r="DU83" i="23" s="1"/>
  <c r="DN81" i="23"/>
  <c r="DO81" i="23" s="1"/>
  <c r="DP81" i="23" s="1"/>
  <c r="EE81" i="23" s="1"/>
  <c r="AZ81" i="23"/>
  <c r="DU81" i="23" s="1"/>
  <c r="DN80" i="23"/>
  <c r="DO80" i="23" s="1"/>
  <c r="DP80" i="23" s="1"/>
  <c r="EE80" i="23" s="1"/>
  <c r="BN80" i="23"/>
  <c r="DW80" i="23" s="1"/>
  <c r="AZ80" i="23"/>
  <c r="DU80" i="23" s="1"/>
  <c r="BE78" i="23"/>
  <c r="BS77" i="23"/>
  <c r="AZ75" i="23"/>
  <c r="DU75" i="23" s="1"/>
  <c r="CZ74" i="23"/>
  <c r="EB74" i="23" s="1"/>
  <c r="BE74" i="23"/>
  <c r="CI73" i="23"/>
  <c r="CH73" i="23"/>
  <c r="BS73" i="23"/>
  <c r="BE73" i="23"/>
  <c r="DT72" i="23"/>
  <c r="EF72" i="23" s="1"/>
  <c r="BE72" i="23"/>
  <c r="DF70" i="23"/>
  <c r="DG70" i="23" s="1"/>
  <c r="BS70" i="23"/>
  <c r="DO66" i="23"/>
  <c r="DP66" i="23" s="1"/>
  <c r="EE66" i="23" s="1"/>
  <c r="DN65" i="23"/>
  <c r="DO65" i="23" s="1"/>
  <c r="DP65" i="23" s="1"/>
  <c r="EE65" i="23" s="1"/>
  <c r="CH65" i="23"/>
  <c r="BS65" i="23"/>
  <c r="EJ64" i="23"/>
  <c r="CH64" i="23"/>
  <c r="BF49" i="23"/>
  <c r="DV49" i="23" s="1"/>
  <c r="EK49" i="23" s="1"/>
  <c r="BE49" i="23"/>
  <c r="EK42" i="23"/>
  <c r="CH42" i="23"/>
  <c r="BN36" i="23"/>
  <c r="DW36" i="23" s="1"/>
  <c r="CH34" i="23"/>
  <c r="BF39" i="23"/>
  <c r="DV39" i="23" s="1"/>
  <c r="DN38" i="23"/>
  <c r="DO38" i="23" s="1"/>
  <c r="DP38" i="23" s="1"/>
  <c r="EE38" i="23" s="1"/>
  <c r="CZ38" i="23"/>
  <c r="EB38" i="23" s="1"/>
  <c r="AZ38" i="23"/>
  <c r="DU38" i="23" s="1"/>
  <c r="DI37" i="23"/>
  <c r="BW33" i="23"/>
  <c r="DY33" i="23" s="1"/>
  <c r="CH31" i="23"/>
  <c r="CI31" i="23"/>
  <c r="AZ30" i="23"/>
  <c r="DU30" i="23" s="1"/>
  <c r="BE22" i="23"/>
  <c r="BF22" i="23"/>
  <c r="DV22" i="23" s="1"/>
  <c r="EJ22" i="23" s="1"/>
  <c r="CB20" i="23"/>
  <c r="CH18" i="23"/>
  <c r="CB18" i="23"/>
  <c r="BN14" i="23"/>
  <c r="DW14" i="23" s="1"/>
  <c r="EP14" i="23" s="1"/>
  <c r="DI77" i="23"/>
  <c r="BE77" i="23"/>
  <c r="DN76" i="23"/>
  <c r="DO76" i="23" s="1"/>
  <c r="DP76" i="23" s="1"/>
  <c r="EE76" i="23" s="1"/>
  <c r="CH76" i="23"/>
  <c r="EK76" i="23"/>
  <c r="DI75" i="23"/>
  <c r="DI74" i="23"/>
  <c r="DN73" i="23"/>
  <c r="DO73" i="23" s="1"/>
  <c r="DP73" i="23" s="1"/>
  <c r="EE73" i="23" s="1"/>
  <c r="BI73" i="23"/>
  <c r="BN73" i="23" s="1"/>
  <c r="DW73" i="23" s="1"/>
  <c r="CC72" i="23"/>
  <c r="DN70" i="23"/>
  <c r="DO70" i="23" s="1"/>
  <c r="DP70" i="23" s="1"/>
  <c r="EE70" i="23" s="1"/>
  <c r="DN69" i="23"/>
  <c r="DO69" i="23" s="1"/>
  <c r="DP69" i="23" s="1"/>
  <c r="EE69" i="23" s="1"/>
  <c r="CH69" i="23"/>
  <c r="BE69" i="23"/>
  <c r="DT68" i="23"/>
  <c r="EF68" i="23" s="1"/>
  <c r="CZ68" i="23"/>
  <c r="EB68" i="23" s="1"/>
  <c r="BI68" i="23"/>
  <c r="DF67" i="23"/>
  <c r="DG67" i="23" s="1"/>
  <c r="DI66" i="23"/>
  <c r="CH66" i="23"/>
  <c r="BE66" i="23"/>
  <c r="DI65" i="23"/>
  <c r="BI65" i="23"/>
  <c r="CI63" i="23"/>
  <c r="BS63" i="23"/>
  <c r="BN63" i="23"/>
  <c r="DW63" i="23" s="1"/>
  <c r="CH62" i="23"/>
  <c r="BI62" i="23"/>
  <c r="BN60" i="23"/>
  <c r="DW60" i="23" s="1"/>
  <c r="DT59" i="23"/>
  <c r="EF59" i="23" s="1"/>
  <c r="DI58" i="23"/>
  <c r="BW58" i="23"/>
  <c r="DY58" i="23" s="1"/>
  <c r="AZ58" i="23"/>
  <c r="DU58" i="23" s="1"/>
  <c r="CZ57" i="23"/>
  <c r="EB57" i="23" s="1"/>
  <c r="CB53" i="23"/>
  <c r="BW52" i="23"/>
  <c r="DY52" i="23" s="1"/>
  <c r="CZ51" i="23"/>
  <c r="EB51" i="23" s="1"/>
  <c r="EK51" i="23" s="1"/>
  <c r="DI50" i="23"/>
  <c r="BN49" i="23"/>
  <c r="DW49" i="23" s="1"/>
  <c r="AZ49" i="23"/>
  <c r="DU49" i="23" s="1"/>
  <c r="AZ48" i="23"/>
  <c r="DU48" i="23" s="1"/>
  <c r="DF47" i="23"/>
  <c r="DG47" i="23" s="1"/>
  <c r="CC47" i="23"/>
  <c r="CP47" i="23" s="1"/>
  <c r="CR47" i="23" s="1"/>
  <c r="DF46" i="23"/>
  <c r="DG46" i="23" s="1"/>
  <c r="CH45" i="23"/>
  <c r="DN44" i="23"/>
  <c r="DO44" i="23" s="1"/>
  <c r="DP44" i="23" s="1"/>
  <c r="EE44" i="23" s="1"/>
  <c r="BE44" i="23"/>
  <c r="BF41" i="23"/>
  <c r="DV41" i="23" s="1"/>
  <c r="BE41" i="23"/>
  <c r="DI39" i="23"/>
  <c r="BS39" i="23"/>
  <c r="BI39" i="23"/>
  <c r="DT38" i="23"/>
  <c r="EF38" i="23" s="1"/>
  <c r="BS37" i="23"/>
  <c r="BW36" i="23"/>
  <c r="DY36" i="23" s="1"/>
  <c r="EM36" i="23" s="1"/>
  <c r="BE36" i="23"/>
  <c r="BW35" i="23"/>
  <c r="DY35" i="23" s="1"/>
  <c r="CH35" i="23"/>
  <c r="DT34" i="23"/>
  <c r="EF34" i="23" s="1"/>
  <c r="DT33" i="23"/>
  <c r="EF33" i="23" s="1"/>
  <c r="DT32" i="23"/>
  <c r="EF32" i="23" s="1"/>
  <c r="CI29" i="23"/>
  <c r="CH29" i="23"/>
  <c r="EJ26" i="23"/>
  <c r="DO24" i="23"/>
  <c r="DP24" i="23" s="1"/>
  <c r="EE24" i="23" s="1"/>
  <c r="CI18" i="23"/>
  <c r="CH68" i="23"/>
  <c r="DT67" i="23"/>
  <c r="EF67" i="23" s="1"/>
  <c r="CC67" i="23"/>
  <c r="BI67" i="23"/>
  <c r="BN67" i="23" s="1"/>
  <c r="DW67" i="23" s="1"/>
  <c r="BE67" i="23"/>
  <c r="CB67" i="23"/>
  <c r="DT64" i="23"/>
  <c r="EF64" i="23" s="1"/>
  <c r="DT63" i="23"/>
  <c r="EF63" i="23" s="1"/>
  <c r="BW63" i="23"/>
  <c r="DY63" i="23" s="1"/>
  <c r="BE63" i="23"/>
  <c r="CZ61" i="23"/>
  <c r="EB61" i="23" s="1"/>
  <c r="BI61" i="23"/>
  <c r="BN61" i="23" s="1"/>
  <c r="DW61" i="23" s="1"/>
  <c r="AZ61" i="23"/>
  <c r="DU61" i="23" s="1"/>
  <c r="DN60" i="23"/>
  <c r="DO60" i="23" s="1"/>
  <c r="DP60" i="23" s="1"/>
  <c r="EE60" i="23" s="1"/>
  <c r="BE60" i="23"/>
  <c r="BF60" i="23" s="1"/>
  <c r="DV60" i="23" s="1"/>
  <c r="DN57" i="23"/>
  <c r="DO57" i="23" s="1"/>
  <c r="DP57" i="23" s="1"/>
  <c r="EE57" i="23" s="1"/>
  <c r="CH57" i="23"/>
  <c r="DT56" i="23"/>
  <c r="EF56" i="23" s="1"/>
  <c r="BS56" i="23"/>
  <c r="DT55" i="23"/>
  <c r="EF55" i="23" s="1"/>
  <c r="CB54" i="23"/>
  <c r="CO54" i="23" s="1"/>
  <c r="CQ54" i="23" s="1"/>
  <c r="DZ54" i="23" s="1"/>
  <c r="ET54" i="23" s="1"/>
  <c r="AZ54" i="23"/>
  <c r="DU54" i="23" s="1"/>
  <c r="DT53" i="23"/>
  <c r="EF53" i="23" s="1"/>
  <c r="AZ52" i="23"/>
  <c r="DU52" i="23" s="1"/>
  <c r="DT51" i="23"/>
  <c r="EF51" i="23" s="1"/>
  <c r="DI51" i="23"/>
  <c r="BS51" i="23"/>
  <c r="AZ50" i="23"/>
  <c r="DU50" i="23" s="1"/>
  <c r="CB48" i="23"/>
  <c r="CO48" i="23" s="1"/>
  <c r="CQ48" i="23" s="1"/>
  <c r="DZ48" i="23" s="1"/>
  <c r="ET48" i="23" s="1"/>
  <c r="BS48" i="23"/>
  <c r="AZ46" i="23"/>
  <c r="DU46" i="23" s="1"/>
  <c r="AZ45" i="23"/>
  <c r="DU45" i="23" s="1"/>
  <c r="DI44" i="23"/>
  <c r="BW43" i="23"/>
  <c r="DY43" i="23" s="1"/>
  <c r="DN42" i="23"/>
  <c r="DO42" i="23" s="1"/>
  <c r="DP42" i="23" s="1"/>
  <c r="EE42" i="23" s="1"/>
  <c r="AZ42" i="23"/>
  <c r="DU42" i="23" s="1"/>
  <c r="DF39" i="23"/>
  <c r="DG39" i="23" s="1"/>
  <c r="DO37" i="23"/>
  <c r="DP37" i="23" s="1"/>
  <c r="EE37" i="23" s="1"/>
  <c r="CZ37" i="23"/>
  <c r="EB37" i="23" s="1"/>
  <c r="CI37" i="23"/>
  <c r="BI37" i="23"/>
  <c r="CZ36" i="23"/>
  <c r="EB36" i="23" s="1"/>
  <c r="DO34" i="23"/>
  <c r="DP34" i="23" s="1"/>
  <c r="EE34" i="23" s="1"/>
  <c r="BE34" i="23"/>
  <c r="BF34" i="23"/>
  <c r="DV34" i="23" s="1"/>
  <c r="CP42" i="23"/>
  <c r="CR42" i="23" s="1"/>
  <c r="CZ34" i="23"/>
  <c r="EB34" i="23" s="1"/>
  <c r="DN33" i="23"/>
  <c r="DO33" i="23" s="1"/>
  <c r="DP33" i="23" s="1"/>
  <c r="EE33" i="23" s="1"/>
  <c r="BS32" i="23"/>
  <c r="CI30" i="23"/>
  <c r="DT29" i="23"/>
  <c r="EF29" i="23" s="1"/>
  <c r="BE29" i="23"/>
  <c r="AZ28" i="23"/>
  <c r="DU28" i="23" s="1"/>
  <c r="BI27" i="23"/>
  <c r="BS24" i="23"/>
  <c r="DF23" i="23"/>
  <c r="DG23" i="23" s="1"/>
  <c r="BI23" i="23"/>
  <c r="DT21" i="23"/>
  <c r="EF21" i="23" s="1"/>
  <c r="CC21" i="23"/>
  <c r="BS21" i="23"/>
  <c r="AZ20" i="23"/>
  <c r="DU20" i="23" s="1"/>
  <c r="DT18" i="23"/>
  <c r="EF18" i="23" s="1"/>
  <c r="CZ18" i="23"/>
  <c r="EB18" i="23" s="1"/>
  <c r="BE17" i="23"/>
  <c r="CZ16" i="23"/>
  <c r="EB16" i="23" s="1"/>
  <c r="BS16" i="23"/>
  <c r="DT14" i="23"/>
  <c r="EF14" i="23" s="1"/>
  <c r="BE14" i="23"/>
  <c r="CZ13" i="23"/>
  <c r="EB13" i="23" s="1"/>
  <c r="CC13" i="23"/>
  <c r="BS13" i="23"/>
  <c r="DT45" i="23"/>
  <c r="EF45" i="23" s="1"/>
  <c r="CI45" i="23"/>
  <c r="BI45" i="23"/>
  <c r="BI44" i="23"/>
  <c r="BN44" i="23" s="1"/>
  <c r="DW44" i="23" s="1"/>
  <c r="DT42" i="23"/>
  <c r="EF42" i="23" s="1"/>
  <c r="CI42" i="23"/>
  <c r="BN42" i="23"/>
  <c r="DW42" i="23" s="1"/>
  <c r="BW41" i="23"/>
  <c r="DY41" i="23" s="1"/>
  <c r="EM41" i="23" s="1"/>
  <c r="BS41" i="23"/>
  <c r="CZ40" i="23"/>
  <c r="EB40" i="23" s="1"/>
  <c r="DT39" i="23"/>
  <c r="EF39" i="23" s="1"/>
  <c r="BN39" i="23"/>
  <c r="DW39" i="23" s="1"/>
  <c r="CI38" i="23"/>
  <c r="AZ36" i="23"/>
  <c r="DU36" i="23" s="1"/>
  <c r="CI34" i="23"/>
  <c r="CB34" i="23"/>
  <c r="CO34" i="23" s="1"/>
  <c r="CQ34" i="23" s="1"/>
  <c r="DZ34" i="23" s="1"/>
  <c r="ET34" i="23" s="1"/>
  <c r="CZ33" i="23"/>
  <c r="EB33" i="23" s="1"/>
  <c r="AZ33" i="23"/>
  <c r="DU33" i="23" s="1"/>
  <c r="DI32" i="23"/>
  <c r="DF32" i="23"/>
  <c r="DG32" i="23" s="1"/>
  <c r="CZ32" i="23"/>
  <c r="EB32" i="23" s="1"/>
  <c r="CH32" i="23"/>
  <c r="BS31" i="23"/>
  <c r="BI31" i="23"/>
  <c r="BN31" i="23" s="1"/>
  <c r="DW31" i="23" s="1"/>
  <c r="BI28" i="23"/>
  <c r="BN28" i="23" s="1"/>
  <c r="DW28" i="23" s="1"/>
  <c r="CI27" i="23"/>
  <c r="BN27" i="23"/>
  <c r="DW27" i="23" s="1"/>
  <c r="AZ27" i="23"/>
  <c r="DU27" i="23" s="1"/>
  <c r="DI26" i="23"/>
  <c r="DF26" i="23"/>
  <c r="DG26" i="23" s="1"/>
  <c r="BI26" i="23"/>
  <c r="BE26" i="23"/>
  <c r="DT25" i="23"/>
  <c r="EF25" i="23" s="1"/>
  <c r="AZ25" i="23"/>
  <c r="DU25" i="23" s="1"/>
  <c r="DF24" i="23"/>
  <c r="DG24" i="23" s="1"/>
  <c r="DT23" i="23"/>
  <c r="EF23" i="23" s="1"/>
  <c r="BN23" i="23"/>
  <c r="DW23" i="23" s="1"/>
  <c r="DT22" i="23"/>
  <c r="EF22" i="23" s="1"/>
  <c r="DI22" i="23"/>
  <c r="AZ22" i="23"/>
  <c r="DU22" i="23" s="1"/>
  <c r="DO21" i="23"/>
  <c r="DP21" i="23" s="1"/>
  <c r="EE21" i="23" s="1"/>
  <c r="BI21" i="23"/>
  <c r="BW19" i="23"/>
  <c r="DY19" i="23" s="1"/>
  <c r="BI19" i="23"/>
  <c r="BI18" i="23"/>
  <c r="DT15" i="23"/>
  <c r="EF15" i="23" s="1"/>
  <c r="BS15" i="23"/>
  <c r="BE15" i="23"/>
  <c r="CH14" i="23"/>
  <c r="BS14" i="23"/>
  <c r="BI13" i="23"/>
  <c r="BN13" i="23" s="1"/>
  <c r="DW13" i="23" s="1"/>
  <c r="BW12" i="23"/>
  <c r="DY12" i="23" s="1"/>
  <c r="BI12" i="23"/>
  <c r="BN12" i="23" s="1"/>
  <c r="DW12" i="23" s="1"/>
  <c r="BE12" i="23"/>
  <c r="CO73" i="23"/>
  <c r="CQ73" i="23" s="1"/>
  <c r="DZ73" i="23" s="1"/>
  <c r="CZ29" i="23"/>
  <c r="EB29" i="23" s="1"/>
  <c r="EK29" i="23" s="1"/>
  <c r="BS29" i="23"/>
  <c r="DT27" i="23"/>
  <c r="EF27" i="23" s="1"/>
  <c r="CZ27" i="23"/>
  <c r="EB27" i="23" s="1"/>
  <c r="EJ27" i="23" s="1"/>
  <c r="CI26" i="23"/>
  <c r="BN26" i="23"/>
  <c r="DW26" i="23" s="1"/>
  <c r="CC25" i="23"/>
  <c r="AZ24" i="23"/>
  <c r="DU24" i="23" s="1"/>
  <c r="DI23" i="23"/>
  <c r="CC23" i="23"/>
  <c r="BE21" i="23"/>
  <c r="BE20" i="23"/>
  <c r="CZ19" i="23"/>
  <c r="EB19" i="23" s="1"/>
  <c r="EJ19" i="23" s="1"/>
  <c r="BS19" i="23"/>
  <c r="CP18" i="23"/>
  <c r="CR18" i="23" s="1"/>
  <c r="BS18" i="23"/>
  <c r="DN15" i="23"/>
  <c r="DO15" i="23" s="1"/>
  <c r="DP15" i="23" s="1"/>
  <c r="EE15" i="23" s="1"/>
  <c r="DT13" i="23"/>
  <c r="EF13" i="23" s="1"/>
  <c r="CZ12" i="23"/>
  <c r="EB12" i="23" s="1"/>
  <c r="EK12" i="23" s="1"/>
  <c r="BY78" i="23"/>
  <c r="CC78" i="23" s="1"/>
  <c r="CP78" i="23" s="1"/>
  <c r="CR78" i="23" s="1"/>
  <c r="CB86" i="23"/>
  <c r="CO86" i="23" s="1"/>
  <c r="CQ86" i="23" s="1"/>
  <c r="DZ86" i="23" s="1"/>
  <c r="ET86" i="23" s="1"/>
  <c r="BW82" i="23"/>
  <c r="DY82" i="23" s="1"/>
  <c r="BW76" i="23"/>
  <c r="DY76" i="23" s="1"/>
  <c r="EN76" i="23" s="1"/>
  <c r="CB61" i="23"/>
  <c r="CC59" i="23"/>
  <c r="CP59" i="23" s="1"/>
  <c r="CR59" i="23" s="1"/>
  <c r="BW47" i="23"/>
  <c r="DY47" i="23" s="1"/>
  <c r="CB29" i="23"/>
  <c r="BW25" i="23"/>
  <c r="DY25" i="23" s="1"/>
  <c r="EM25" i="23" s="1"/>
  <c r="BY83" i="23"/>
  <c r="CB83" i="23" s="1"/>
  <c r="CP40" i="23"/>
  <c r="CR40" i="23" s="1"/>
  <c r="CB72" i="23"/>
  <c r="DF84" i="23"/>
  <c r="DG84" i="23" s="1"/>
  <c r="DF75" i="23"/>
  <c r="DG75" i="23" s="1"/>
  <c r="DF71" i="23"/>
  <c r="DG71" i="23" s="1"/>
  <c r="EM71" i="23" s="1"/>
  <c r="BW69" i="23"/>
  <c r="DY69" i="23" s="1"/>
  <c r="EN69" i="23" s="1"/>
  <c r="BW66" i="23"/>
  <c r="DY66" i="23" s="1"/>
  <c r="DF61" i="23"/>
  <c r="DG61" i="23" s="1"/>
  <c r="BW51" i="23"/>
  <c r="DY51" i="23" s="1"/>
  <c r="BW50" i="23"/>
  <c r="DY50" i="23" s="1"/>
  <c r="EM50" i="23" s="1"/>
  <c r="BW48" i="23"/>
  <c r="DY48" i="23" s="1"/>
  <c r="EN48" i="23" s="1"/>
  <c r="DF40" i="23"/>
  <c r="DG40" i="23" s="1"/>
  <c r="BW28" i="23"/>
  <c r="DY28" i="23" s="1"/>
  <c r="BW22" i="23"/>
  <c r="DY22" i="23" s="1"/>
  <c r="DF18" i="23"/>
  <c r="DG18" i="23" s="1"/>
  <c r="BW14" i="23"/>
  <c r="DY14" i="23" s="1"/>
  <c r="CP65" i="23"/>
  <c r="CR65" i="23" s="1"/>
  <c r="CO68" i="23"/>
  <c r="CQ68" i="23" s="1"/>
  <c r="DZ68" i="23" s="1"/>
  <c r="ET68" i="23" s="1"/>
  <c r="BY58" i="23"/>
  <c r="CC58" i="23" s="1"/>
  <c r="CP69" i="23"/>
  <c r="CR69" i="23" s="1"/>
  <c r="BW72" i="23"/>
  <c r="DY72" i="23" s="1"/>
  <c r="EN72" i="23" s="1"/>
  <c r="BW64" i="23"/>
  <c r="DY64" i="23" s="1"/>
  <c r="EM64" i="23" s="1"/>
  <c r="BW54" i="23"/>
  <c r="DY54" i="23" s="1"/>
  <c r="BW31" i="23"/>
  <c r="DY31" i="23" s="1"/>
  <c r="EN31" i="23" s="1"/>
  <c r="CO66" i="23"/>
  <c r="CQ66" i="23" s="1"/>
  <c r="DZ66" i="23" s="1"/>
  <c r="BW90" i="23"/>
  <c r="DY90" i="23" s="1"/>
  <c r="DF87" i="23"/>
  <c r="DG87" i="23" s="1"/>
  <c r="BW85" i="23"/>
  <c r="DY85" i="23" s="1"/>
  <c r="BW84" i="23"/>
  <c r="DY84" i="23" s="1"/>
  <c r="EN84" i="23" s="1"/>
  <c r="BW80" i="23"/>
  <c r="DY80" i="23" s="1"/>
  <c r="BW70" i="23"/>
  <c r="DY70" i="23" s="1"/>
  <c r="CB68" i="23"/>
  <c r="DF53" i="23"/>
  <c r="DG53" i="23" s="1"/>
  <c r="CB37" i="23"/>
  <c r="BW17" i="23"/>
  <c r="DY17" i="23" s="1"/>
  <c r="EN17" i="23" s="1"/>
  <c r="BW16" i="23"/>
  <c r="DY16" i="23" s="1"/>
  <c r="EM16" i="23" s="1"/>
  <c r="CO61" i="23"/>
  <c r="CQ61" i="23" s="1"/>
  <c r="DZ61" i="23" s="1"/>
  <c r="BY75" i="23"/>
  <c r="CC75" i="23" s="1"/>
  <c r="CP75" i="23" s="1"/>
  <c r="CR75" i="23" s="1"/>
  <c r="BY40" i="23"/>
  <c r="BY44" i="23"/>
  <c r="CC44" i="23" s="1"/>
  <c r="CB21" i="23"/>
  <c r="CO21" i="23" s="1"/>
  <c r="CQ21" i="23" s="1"/>
  <c r="DZ21" i="23" s="1"/>
  <c r="ET21" i="23" s="1"/>
  <c r="CB81" i="23"/>
  <c r="CO81" i="23" s="1"/>
  <c r="CQ81" i="23" s="1"/>
  <c r="DZ81" i="23" s="1"/>
  <c r="DF65" i="23"/>
  <c r="DG65" i="23" s="1"/>
  <c r="CC86" i="23"/>
  <c r="CP86" i="23" s="1"/>
  <c r="CR86" i="23" s="1"/>
  <c r="BW65" i="23"/>
  <c r="DY65" i="23" s="1"/>
  <c r="BW46" i="23"/>
  <c r="DY46" i="23" s="1"/>
  <c r="EM46" i="23" s="1"/>
  <c r="BW38" i="23"/>
  <c r="DY38" i="23" s="1"/>
  <c r="BW30" i="23"/>
  <c r="DY30" i="23" s="1"/>
  <c r="BW26" i="23"/>
  <c r="DY26" i="23" s="1"/>
  <c r="BW23" i="23"/>
  <c r="DY23" i="23" s="1"/>
  <c r="EN23" i="23" s="1"/>
  <c r="CP43" i="23"/>
  <c r="CR43" i="23" s="1"/>
  <c r="CO46" i="23"/>
  <c r="CQ46" i="23" s="1"/>
  <c r="DZ46" i="23" s="1"/>
  <c r="ET46" i="23" s="1"/>
  <c r="CO53" i="23"/>
  <c r="CQ53" i="23" s="1"/>
  <c r="DZ53" i="23" s="1"/>
  <c r="ES53" i="23" s="1"/>
  <c r="CP23" i="23"/>
  <c r="CR23" i="23" s="1"/>
  <c r="CO51" i="23"/>
  <c r="CQ51" i="23" s="1"/>
  <c r="DZ51" i="23" s="1"/>
  <c r="CP74" i="23"/>
  <c r="CR74" i="23" s="1"/>
  <c r="CO74" i="23"/>
  <c r="CQ74" i="23" s="1"/>
  <c r="DZ74" i="23" s="1"/>
  <c r="ES74" i="23" s="1"/>
  <c r="CP66" i="23"/>
  <c r="CR66" i="23" s="1"/>
  <c r="CO40" i="23"/>
  <c r="CQ40" i="23" s="1"/>
  <c r="DZ40" i="23" s="1"/>
  <c r="ET40" i="23" s="1"/>
  <c r="CP72" i="23"/>
  <c r="CR72" i="23" s="1"/>
  <c r="CO65" i="23"/>
  <c r="CQ65" i="23" s="1"/>
  <c r="DZ65" i="23" s="1"/>
  <c r="ET65" i="23" s="1"/>
  <c r="CO18" i="23"/>
  <c r="CQ18" i="23" s="1"/>
  <c r="DZ18" i="23" s="1"/>
  <c r="ET18" i="23" s="1"/>
  <c r="CP51" i="23"/>
  <c r="CR51" i="23" s="1"/>
  <c r="CO70" i="23"/>
  <c r="CQ70" i="23" s="1"/>
  <c r="DZ70" i="23" s="1"/>
  <c r="CO43" i="23"/>
  <c r="CQ43" i="23" s="1"/>
  <c r="DZ43" i="23" s="1"/>
  <c r="CO69" i="23"/>
  <c r="CQ69" i="23" s="1"/>
  <c r="DZ69" i="23" s="1"/>
  <c r="ET69" i="23" s="1"/>
  <c r="EM79" i="23"/>
  <c r="EN79" i="23"/>
  <c r="EN71" i="23"/>
  <c r="DF56" i="23"/>
  <c r="DG56" i="23" s="1"/>
  <c r="DI67" i="23"/>
  <c r="DF59" i="23"/>
  <c r="DG59" i="23" s="1"/>
  <c r="DI46" i="23"/>
  <c r="DF31" i="23"/>
  <c r="DG31" i="23" s="1"/>
  <c r="DI29" i="23"/>
  <c r="DF20" i="23"/>
  <c r="DG20" i="23" s="1"/>
  <c r="DF30" i="23"/>
  <c r="DG30" i="23" s="1"/>
  <c r="DI18" i="23"/>
  <c r="DF74" i="23"/>
  <c r="DG74" i="23" s="1"/>
  <c r="EM74" i="23" s="1"/>
  <c r="DI73" i="23"/>
  <c r="DF66" i="23"/>
  <c r="DG66" i="23" s="1"/>
  <c r="DI56" i="23"/>
  <c r="DF42" i="23"/>
  <c r="DG42" i="23" s="1"/>
  <c r="DF38" i="23"/>
  <c r="DG38" i="23" s="1"/>
  <c r="EM38" i="23" s="1"/>
  <c r="DI36" i="23"/>
  <c r="DF62" i="23"/>
  <c r="DG62" i="23" s="1"/>
  <c r="DI40" i="23"/>
  <c r="DI91" i="23"/>
  <c r="DI81" i="23"/>
  <c r="DI60" i="23"/>
  <c r="DI27" i="23"/>
  <c r="DI16" i="23"/>
  <c r="DI69" i="23"/>
  <c r="EM67" i="23"/>
  <c r="DF58" i="23"/>
  <c r="DG58" i="23" s="1"/>
  <c r="DI57" i="23"/>
  <c r="DF50" i="23"/>
  <c r="DG50" i="23" s="1"/>
  <c r="EN40" i="23"/>
  <c r="DI34" i="23"/>
  <c r="DF27" i="23"/>
  <c r="DG27" i="23" s="1"/>
  <c r="EM27" i="23" s="1"/>
  <c r="DF15" i="23"/>
  <c r="DG15" i="23" s="1"/>
  <c r="BS76" i="23"/>
  <c r="BS45" i="23"/>
  <c r="BS26" i="23"/>
  <c r="BS22" i="23"/>
  <c r="BS17" i="23"/>
  <c r="BS87" i="23"/>
  <c r="BS58" i="23"/>
  <c r="BS47" i="23"/>
  <c r="BS33" i="23"/>
  <c r="BS90" i="23"/>
  <c r="BS79" i="23"/>
  <c r="BS71" i="23"/>
  <c r="BS68" i="23"/>
  <c r="BS12" i="23"/>
  <c r="EJ80" i="23"/>
  <c r="EK80" i="23"/>
  <c r="CC80" i="23"/>
  <c r="CB80" i="23"/>
  <c r="CO80" i="23" s="1"/>
  <c r="CQ80" i="23" s="1"/>
  <c r="DZ80" i="23" s="1"/>
  <c r="EK81" i="23"/>
  <c r="EM86" i="23"/>
  <c r="EN86" i="23"/>
  <c r="BF79" i="23"/>
  <c r="DV79" i="23" s="1"/>
  <c r="EK79" i="23" s="1"/>
  <c r="BE79" i="23"/>
  <c r="EJ49" i="23"/>
  <c r="CI75" i="23"/>
  <c r="CH75" i="23"/>
  <c r="EP91" i="23"/>
  <c r="CC79" i="23"/>
  <c r="CB79" i="23"/>
  <c r="CB63" i="23"/>
  <c r="CC63" i="23"/>
  <c r="CO60" i="23"/>
  <c r="CQ60" i="23" s="1"/>
  <c r="DZ60" i="23" s="1"/>
  <c r="CI19" i="23"/>
  <c r="CH19" i="23"/>
  <c r="CB17" i="23"/>
  <c r="CO17" i="23" s="1"/>
  <c r="CQ17" i="23" s="1"/>
  <c r="DZ17" i="23" s="1"/>
  <c r="CC17" i="23"/>
  <c r="CB85" i="23"/>
  <c r="CO85" i="23" s="1"/>
  <c r="CQ85" i="23" s="1"/>
  <c r="DZ85" i="23" s="1"/>
  <c r="ET85" i="23" s="1"/>
  <c r="CC85" i="23"/>
  <c r="CP85" i="23" s="1"/>
  <c r="CR85" i="23" s="1"/>
  <c r="DI82" i="23"/>
  <c r="DF82" i="23"/>
  <c r="DG82" i="23" s="1"/>
  <c r="BF56" i="23"/>
  <c r="DV56" i="23" s="1"/>
  <c r="EK56" i="23" s="1"/>
  <c r="BE56" i="23"/>
  <c r="CB50" i="23"/>
  <c r="CC50" i="23"/>
  <c r="CP50" i="23" s="1"/>
  <c r="CR50" i="23" s="1"/>
  <c r="DI49" i="23"/>
  <c r="DF49" i="23"/>
  <c r="DG49" i="23" s="1"/>
  <c r="EM49" i="23" s="1"/>
  <c r="CP38" i="23"/>
  <c r="CR38" i="23" s="1"/>
  <c r="CO38" i="23"/>
  <c r="CQ38" i="23" s="1"/>
  <c r="DZ38" i="23" s="1"/>
  <c r="ET38" i="23" s="1"/>
  <c r="CH88" i="23"/>
  <c r="EJ77" i="23"/>
  <c r="EL77" i="23" s="1"/>
  <c r="EL76" i="23"/>
  <c r="EK90" i="23"/>
  <c r="CH90" i="23"/>
  <c r="AZ88" i="23"/>
  <c r="DU88" i="23" s="1"/>
  <c r="BS86" i="23"/>
  <c r="BW78" i="23"/>
  <c r="DY78" i="23" s="1"/>
  <c r="EM88" i="23"/>
  <c r="EN88" i="23"/>
  <c r="CI87" i="23"/>
  <c r="CH87" i="23"/>
  <c r="CC84" i="23"/>
  <c r="CP84" i="23" s="1"/>
  <c r="CR84" i="23" s="1"/>
  <c r="CB84" i="23"/>
  <c r="CO84" i="23" s="1"/>
  <c r="CQ84" i="23" s="1"/>
  <c r="DZ84" i="23" s="1"/>
  <c r="ET84" i="23" s="1"/>
  <c r="CC76" i="23"/>
  <c r="CP76" i="23" s="1"/>
  <c r="CR76" i="23" s="1"/>
  <c r="CB76" i="23"/>
  <c r="CO76" i="23" s="1"/>
  <c r="CQ76" i="23" s="1"/>
  <c r="DZ76" i="23" s="1"/>
  <c r="EM61" i="23"/>
  <c r="EN61" i="23"/>
  <c r="EN47" i="23"/>
  <c r="EM47" i="23"/>
  <c r="EM83" i="23"/>
  <c r="EN83" i="23"/>
  <c r="CO83" i="23"/>
  <c r="CQ83" i="23" s="1"/>
  <c r="DZ83" i="23" s="1"/>
  <c r="ET83" i="23" s="1"/>
  <c r="CB65" i="23"/>
  <c r="CC65" i="23"/>
  <c r="CB33" i="23"/>
  <c r="CO33" i="23" s="1"/>
  <c r="CQ33" i="23" s="1"/>
  <c r="DZ33" i="23" s="1"/>
  <c r="ET33" i="23" s="1"/>
  <c r="CC33" i="23"/>
  <c r="CP33" i="23" s="1"/>
  <c r="CR33" i="23" s="1"/>
  <c r="EM24" i="23"/>
  <c r="EN24" i="23"/>
  <c r="EN87" i="23"/>
  <c r="EM87" i="23"/>
  <c r="EQ84" i="23"/>
  <c r="EP84" i="23"/>
  <c r="BF71" i="23"/>
  <c r="DV71" i="23" s="1"/>
  <c r="BE71" i="23"/>
  <c r="CC66" i="23"/>
  <c r="CB66" i="23"/>
  <c r="EK65" i="23"/>
  <c r="EL65" i="23" s="1"/>
  <c r="CP62" i="23"/>
  <c r="CR62" i="23" s="1"/>
  <c r="CO62" i="23"/>
  <c r="CQ62" i="23" s="1"/>
  <c r="DZ62" i="23" s="1"/>
  <c r="DF41" i="23"/>
  <c r="DG41" i="23" s="1"/>
  <c r="EN41" i="23" s="1"/>
  <c r="DI41" i="23"/>
  <c r="DF69" i="23"/>
  <c r="DG69" i="23" s="1"/>
  <c r="BW91" i="23"/>
  <c r="DY91" i="23" s="1"/>
  <c r="DF90" i="23"/>
  <c r="DG90" i="23" s="1"/>
  <c r="EM90" i="23" s="1"/>
  <c r="CZ90" i="23"/>
  <c r="EB90" i="23" s="1"/>
  <c r="EJ90" i="23" s="1"/>
  <c r="EK88" i="23"/>
  <c r="EL88" i="23" s="1"/>
  <c r="EK85" i="23"/>
  <c r="EL85" i="23" s="1"/>
  <c r="BI85" i="23"/>
  <c r="BN85" i="23" s="1"/>
  <c r="DW85" i="23" s="1"/>
  <c r="CZ84" i="23"/>
  <c r="EB84" i="23" s="1"/>
  <c r="EJ84" i="23" s="1"/>
  <c r="BS80" i="23"/>
  <c r="CP73" i="23"/>
  <c r="CR73" i="23" s="1"/>
  <c r="CC71" i="23"/>
  <c r="CB71" i="23"/>
  <c r="CH83" i="23"/>
  <c r="CI83" i="23"/>
  <c r="EJ37" i="23"/>
  <c r="EK37" i="23"/>
  <c r="CC88" i="23"/>
  <c r="CP88" i="23" s="1"/>
  <c r="CR88" i="23" s="1"/>
  <c r="CB88" i="23"/>
  <c r="CO88" i="23" s="1"/>
  <c r="CQ88" i="23" s="1"/>
  <c r="DZ88" i="23" s="1"/>
  <c r="ET88" i="23" s="1"/>
  <c r="CC87" i="23"/>
  <c r="CP87" i="23" s="1"/>
  <c r="CR87" i="23" s="1"/>
  <c r="CB87" i="23"/>
  <c r="CO87" i="23" s="1"/>
  <c r="CQ87" i="23" s="1"/>
  <c r="DZ87" i="23" s="1"/>
  <c r="CP81" i="23"/>
  <c r="CR81" i="23" s="1"/>
  <c r="CI78" i="23"/>
  <c r="CH78" i="23"/>
  <c r="CB77" i="23"/>
  <c r="CO77" i="23" s="1"/>
  <c r="CQ77" i="23" s="1"/>
  <c r="DZ77" i="23" s="1"/>
  <c r="CC77" i="23"/>
  <c r="CP77" i="23" s="1"/>
  <c r="CR77" i="23" s="1"/>
  <c r="CI74" i="23"/>
  <c r="CH74" i="23"/>
  <c r="CC69" i="23"/>
  <c r="CB69" i="23"/>
  <c r="CI90" i="23"/>
  <c r="BS88" i="23"/>
  <c r="DN77" i="23"/>
  <c r="DO77" i="23" s="1"/>
  <c r="DP77" i="23" s="1"/>
  <c r="EE77" i="23" s="1"/>
  <c r="BW75" i="23"/>
  <c r="DY75" i="23" s="1"/>
  <c r="EJ73" i="23"/>
  <c r="BS69" i="23"/>
  <c r="ES68" i="23"/>
  <c r="EU68" i="23" s="1"/>
  <c r="CC90" i="23"/>
  <c r="CP90" i="23" s="1"/>
  <c r="CR90" i="23" s="1"/>
  <c r="CB90" i="23"/>
  <c r="CO90" i="23" s="1"/>
  <c r="CQ90" i="23" s="1"/>
  <c r="DZ90" i="23" s="1"/>
  <c r="ET90" i="23" s="1"/>
  <c r="CP67" i="23"/>
  <c r="CR67" i="23" s="1"/>
  <c r="CO67" i="23"/>
  <c r="CQ67" i="23" s="1"/>
  <c r="DZ67" i="23" s="1"/>
  <c r="ET67" i="23" s="1"/>
  <c r="CC62" i="23"/>
  <c r="CB62" i="23"/>
  <c r="CO89" i="23"/>
  <c r="CQ89" i="23" s="1"/>
  <c r="DZ89" i="23" s="1"/>
  <c r="BF91" i="23"/>
  <c r="DV91" i="23" s="1"/>
  <c r="EK91" i="23" s="1"/>
  <c r="BE91" i="23"/>
  <c r="CI89" i="23"/>
  <c r="CH89" i="23"/>
  <c r="BE83" i="23"/>
  <c r="BF83" i="23"/>
  <c r="DV83" i="23" s="1"/>
  <c r="EK83" i="23" s="1"/>
  <c r="EQ77" i="23"/>
  <c r="DF68" i="23"/>
  <c r="DG68" i="23" s="1"/>
  <c r="DI68" i="23"/>
  <c r="DF17" i="23"/>
  <c r="DG17" i="23" s="1"/>
  <c r="DI17" i="23"/>
  <c r="CO91" i="23"/>
  <c r="CQ91" i="23" s="1"/>
  <c r="DZ91" i="23" s="1"/>
  <c r="ET91" i="23" s="1"/>
  <c r="BN88" i="23"/>
  <c r="DW88" i="23" s="1"/>
  <c r="AZ87" i="23"/>
  <c r="DU87" i="23" s="1"/>
  <c r="BE85" i="23"/>
  <c r="AZ73" i="23"/>
  <c r="DU73" i="23" s="1"/>
  <c r="CC82" i="23"/>
  <c r="CP82" i="23" s="1"/>
  <c r="CR82" i="23" s="1"/>
  <c r="CB82" i="23"/>
  <c r="CO82" i="23" s="1"/>
  <c r="CQ82" i="23" s="1"/>
  <c r="DZ82" i="23" s="1"/>
  <c r="EM69" i="23"/>
  <c r="DF63" i="23"/>
  <c r="DG63" i="23" s="1"/>
  <c r="DI63" i="23"/>
  <c r="CH61" i="23"/>
  <c r="CI61" i="23"/>
  <c r="CO59" i="23"/>
  <c r="CQ59" i="23" s="1"/>
  <c r="DZ59" i="23" s="1"/>
  <c r="ET59" i="23" s="1"/>
  <c r="CC57" i="23"/>
  <c r="CP57" i="23" s="1"/>
  <c r="CR57" i="23" s="1"/>
  <c r="CB57" i="23"/>
  <c r="CO57" i="23" s="1"/>
  <c r="CQ57" i="23" s="1"/>
  <c r="DZ57" i="23" s="1"/>
  <c r="CC52" i="23"/>
  <c r="CB52" i="23"/>
  <c r="CO52" i="23" s="1"/>
  <c r="CQ52" i="23" s="1"/>
  <c r="DZ52" i="23" s="1"/>
  <c r="ET52" i="23" s="1"/>
  <c r="CB44" i="23"/>
  <c r="AZ44" i="23"/>
  <c r="DU44" i="23" s="1"/>
  <c r="CI43" i="23"/>
  <c r="CH43" i="23"/>
  <c r="CO29" i="23"/>
  <c r="CQ29" i="23" s="1"/>
  <c r="DZ29" i="23" s="1"/>
  <c r="ET29" i="23" s="1"/>
  <c r="CI80" i="23"/>
  <c r="CH80" i="23"/>
  <c r="CP58" i="23"/>
  <c r="CR58" i="23" s="1"/>
  <c r="BF48" i="23"/>
  <c r="DV48" i="23" s="1"/>
  <c r="BE48" i="23"/>
  <c r="EN39" i="23"/>
  <c r="EM39" i="23"/>
  <c r="CP34" i="23"/>
  <c r="CR34" i="23" s="1"/>
  <c r="CI28" i="23"/>
  <c r="CH28" i="23"/>
  <c r="EN27" i="23"/>
  <c r="BF13" i="23"/>
  <c r="DV13" i="23" s="1"/>
  <c r="EK13" i="23" s="1"/>
  <c r="BE13" i="23"/>
  <c r="EK86" i="23"/>
  <c r="EL86" i="23" s="1"/>
  <c r="EJ81" i="23"/>
  <c r="EL81" i="23" s="1"/>
  <c r="CP80" i="23"/>
  <c r="CR80" i="23" s="1"/>
  <c r="CO79" i="23"/>
  <c r="CQ79" i="23" s="1"/>
  <c r="DZ79" i="23" s="1"/>
  <c r="CI77" i="23"/>
  <c r="BN72" i="23"/>
  <c r="DW72" i="23" s="1"/>
  <c r="CO71" i="23"/>
  <c r="CQ71" i="23" s="1"/>
  <c r="DZ71" i="23" s="1"/>
  <c r="ET71" i="23" s="1"/>
  <c r="CZ69" i="23"/>
  <c r="EB69" i="23" s="1"/>
  <c r="EJ69" i="23" s="1"/>
  <c r="EK64" i="23"/>
  <c r="EL64" i="23" s="1"/>
  <c r="EJ61" i="23"/>
  <c r="CZ53" i="23"/>
  <c r="EB53" i="23" s="1"/>
  <c r="DT41" i="23"/>
  <c r="EF41" i="23" s="1"/>
  <c r="DO19" i="23"/>
  <c r="DP19" i="23" s="1"/>
  <c r="EE19" i="23" s="1"/>
  <c r="AZ12" i="23"/>
  <c r="DU12" i="23" s="1"/>
  <c r="DT89" i="23"/>
  <c r="EF89" i="23" s="1"/>
  <c r="DI89" i="23"/>
  <c r="AZ89" i="23"/>
  <c r="DU89" i="23" s="1"/>
  <c r="CI88" i="23"/>
  <c r="DI87" i="23"/>
  <c r="DI85" i="23"/>
  <c r="CP79" i="23"/>
  <c r="CR79" i="23" s="1"/>
  <c r="BW77" i="23"/>
  <c r="DY77" i="23" s="1"/>
  <c r="BE76" i="23"/>
  <c r="AZ76" i="23"/>
  <c r="DU76" i="23" s="1"/>
  <c r="CB75" i="23"/>
  <c r="CO75" i="23" s="1"/>
  <c r="CQ75" i="23" s="1"/>
  <c r="DZ75" i="23" s="1"/>
  <c r="DT73" i="23"/>
  <c r="EF73" i="23" s="1"/>
  <c r="ES73" i="23" s="1"/>
  <c r="BW73" i="23"/>
  <c r="DY73" i="23" s="1"/>
  <c r="DF72" i="23"/>
  <c r="DG72" i="23" s="1"/>
  <c r="CP71" i="23"/>
  <c r="CR71" i="23" s="1"/>
  <c r="DT70" i="23"/>
  <c r="EF70" i="23" s="1"/>
  <c r="CP70" i="23"/>
  <c r="CR70" i="23" s="1"/>
  <c r="BI70" i="23"/>
  <c r="BN70" i="23" s="1"/>
  <c r="DW70" i="23" s="1"/>
  <c r="BF67" i="23"/>
  <c r="DV67" i="23" s="1"/>
  <c r="EK67" i="23" s="1"/>
  <c r="DT66" i="23"/>
  <c r="EF66" i="23" s="1"/>
  <c r="CZ60" i="23"/>
  <c r="EB60" i="23" s="1"/>
  <c r="EJ60" i="23" s="1"/>
  <c r="BN52" i="23"/>
  <c r="DW52" i="23" s="1"/>
  <c r="EJ51" i="23"/>
  <c r="BW44" i="23"/>
  <c r="DY44" i="23" s="1"/>
  <c r="EJ42" i="23"/>
  <c r="EL42" i="23" s="1"/>
  <c r="EM40" i="23"/>
  <c r="EN36" i="23"/>
  <c r="EO36" i="23" s="1"/>
  <c r="BS35" i="23"/>
  <c r="DN30" i="23"/>
  <c r="DO30" i="23" s="1"/>
  <c r="DP30" i="23" s="1"/>
  <c r="EE30" i="23" s="1"/>
  <c r="BN15" i="23"/>
  <c r="DW15" i="23" s="1"/>
  <c r="EQ64" i="23"/>
  <c r="EP64" i="23"/>
  <c r="CI72" i="23"/>
  <c r="CH72" i="23"/>
  <c r="EM53" i="23"/>
  <c r="EN53" i="23"/>
  <c r="DI43" i="23"/>
  <c r="DF43" i="23"/>
  <c r="DG43" i="23" s="1"/>
  <c r="CC42" i="23"/>
  <c r="CB42" i="23"/>
  <c r="EJ29" i="23"/>
  <c r="EL29" i="23" s="1"/>
  <c r="CP52" i="23"/>
  <c r="CR52" i="23" s="1"/>
  <c r="BN87" i="23"/>
  <c r="DW87" i="23" s="1"/>
  <c r="CI62" i="23"/>
  <c r="BW62" i="23"/>
  <c r="DY62" i="23" s="1"/>
  <c r="AZ82" i="23"/>
  <c r="DU82" i="23" s="1"/>
  <c r="DF81" i="23"/>
  <c r="DG81" i="23" s="1"/>
  <c r="BW81" i="23"/>
  <c r="DY81" i="23" s="1"/>
  <c r="BE81" i="23"/>
  <c r="DF77" i="23"/>
  <c r="DG77" i="23" s="1"/>
  <c r="BN74" i="23"/>
  <c r="DW74" i="23" s="1"/>
  <c r="EQ74" i="23" s="1"/>
  <c r="CO72" i="23"/>
  <c r="CQ72" i="23" s="1"/>
  <c r="DZ72" i="23" s="1"/>
  <c r="ET72" i="23" s="1"/>
  <c r="CZ70" i="23"/>
  <c r="EB70" i="23" s="1"/>
  <c r="AZ70" i="23"/>
  <c r="DU70" i="23" s="1"/>
  <c r="BE68" i="23"/>
  <c r="BS66" i="23"/>
  <c r="EJ50" i="23"/>
  <c r="BE45" i="23"/>
  <c r="EJ36" i="23"/>
  <c r="AZ31" i="23"/>
  <c r="DU31" i="23" s="1"/>
  <c r="EK22" i="23"/>
  <c r="CI58" i="23"/>
  <c r="CH58" i="23"/>
  <c r="CB41" i="23"/>
  <c r="CC41" i="23"/>
  <c r="DF13" i="23"/>
  <c r="DG13" i="23" s="1"/>
  <c r="DI13" i="23"/>
  <c r="CP13" i="23"/>
  <c r="CR13" i="23" s="1"/>
  <c r="CO13" i="23"/>
  <c r="CQ13" i="23" s="1"/>
  <c r="DZ13" i="23" s="1"/>
  <c r="CC74" i="23"/>
  <c r="CB74" i="23"/>
  <c r="BF59" i="23"/>
  <c r="DV59" i="23" s="1"/>
  <c r="EJ59" i="23" s="1"/>
  <c r="BE59" i="23"/>
  <c r="EN57" i="23"/>
  <c r="EM57" i="23"/>
  <c r="DI54" i="23"/>
  <c r="DF54" i="23"/>
  <c r="DG54" i="23" s="1"/>
  <c r="EM54" i="23" s="1"/>
  <c r="CI44" i="23"/>
  <c r="CH44" i="23"/>
  <c r="EQ42" i="23"/>
  <c r="CC36" i="23"/>
  <c r="CP36" i="23" s="1"/>
  <c r="CR36" i="23" s="1"/>
  <c r="CB36" i="23"/>
  <c r="CO36" i="23" s="1"/>
  <c r="CQ36" i="23" s="1"/>
  <c r="DZ36" i="23" s="1"/>
  <c r="ET36" i="23" s="1"/>
  <c r="CI33" i="23"/>
  <c r="CH33" i="23"/>
  <c r="CB31" i="23"/>
  <c r="CC31" i="23"/>
  <c r="CP31" i="23" s="1"/>
  <c r="CR31" i="23" s="1"/>
  <c r="CC26" i="23"/>
  <c r="CP26" i="23" s="1"/>
  <c r="CR26" i="23" s="1"/>
  <c r="CB26" i="23"/>
  <c r="DF21" i="23"/>
  <c r="DG21" i="23" s="1"/>
  <c r="DI21" i="23"/>
  <c r="BE82" i="23"/>
  <c r="EN74" i="23"/>
  <c r="DF91" i="23"/>
  <c r="DG91" i="23" s="1"/>
  <c r="CP91" i="23"/>
  <c r="CR91" i="23" s="1"/>
  <c r="CH91" i="23"/>
  <c r="DN83" i="23"/>
  <c r="DO83" i="23" s="1"/>
  <c r="DP83" i="23" s="1"/>
  <c r="EE83" i="23" s="1"/>
  <c r="DT82" i="23"/>
  <c r="EF82" i="23" s="1"/>
  <c r="DT81" i="23"/>
  <c r="EF81" i="23" s="1"/>
  <c r="CZ78" i="23"/>
  <c r="EB78" i="23" s="1"/>
  <c r="EJ78" i="23" s="1"/>
  <c r="CB78" i="23"/>
  <c r="CO78" i="23" s="1"/>
  <c r="CQ78" i="23" s="1"/>
  <c r="DZ78" i="23" s="1"/>
  <c r="ET78" i="23" s="1"/>
  <c r="BS75" i="23"/>
  <c r="BF75" i="23"/>
  <c r="DV75" i="23" s="1"/>
  <c r="EK75" i="23" s="1"/>
  <c r="CZ72" i="23"/>
  <c r="EB72" i="23" s="1"/>
  <c r="BI71" i="23"/>
  <c r="BN71" i="23" s="1"/>
  <c r="DW71" i="23" s="1"/>
  <c r="CI69" i="23"/>
  <c r="DN67" i="23"/>
  <c r="DO67" i="23" s="1"/>
  <c r="DP67" i="23" s="1"/>
  <c r="EE67" i="23" s="1"/>
  <c r="BN66" i="23"/>
  <c r="DW66" i="23" s="1"/>
  <c r="CP64" i="23"/>
  <c r="CR64" i="23" s="1"/>
  <c r="CZ63" i="23"/>
  <c r="EB63" i="23" s="1"/>
  <c r="CC61" i="23"/>
  <c r="CP60" i="23"/>
  <c r="CR60" i="23" s="1"/>
  <c r="CZ55" i="23"/>
  <c r="EB55" i="23" s="1"/>
  <c r="EJ55" i="23" s="1"/>
  <c r="BS54" i="23"/>
  <c r="CZ52" i="23"/>
  <c r="EB52" i="23" s="1"/>
  <c r="DT50" i="23"/>
  <c r="EF50" i="23" s="1"/>
  <c r="CP46" i="23"/>
  <c r="CR46" i="23" s="1"/>
  <c r="BE42" i="23"/>
  <c r="CC37" i="23"/>
  <c r="CP37" i="23" s="1"/>
  <c r="CR37" i="23" s="1"/>
  <c r="BS36" i="23"/>
  <c r="BF36" i="23"/>
  <c r="DV36" i="23" s="1"/>
  <c r="EK31" i="23"/>
  <c r="EL31" i="23" s="1"/>
  <c r="AZ26" i="23"/>
  <c r="DU26" i="23" s="1"/>
  <c r="EJ12" i="23"/>
  <c r="CC55" i="23"/>
  <c r="CP55" i="23" s="1"/>
  <c r="CR55" i="23" s="1"/>
  <c r="CB55" i="23"/>
  <c r="CO55" i="23" s="1"/>
  <c r="CQ55" i="23" s="1"/>
  <c r="DZ55" i="23" s="1"/>
  <c r="ET55" i="23" s="1"/>
  <c r="DF45" i="23"/>
  <c r="DG45" i="23" s="1"/>
  <c r="DI45" i="23"/>
  <c r="CC45" i="23"/>
  <c r="CP45" i="23" s="1"/>
  <c r="CR45" i="23" s="1"/>
  <c r="CB45" i="23"/>
  <c r="CO45" i="23" s="1"/>
  <c r="CQ45" i="23" s="1"/>
  <c r="DZ45" i="23" s="1"/>
  <c r="ET45" i="23" s="1"/>
  <c r="CC22" i="23"/>
  <c r="CB22" i="23"/>
  <c r="CO22" i="23" s="1"/>
  <c r="CQ22" i="23" s="1"/>
  <c r="DZ22" i="23" s="1"/>
  <c r="CI67" i="23"/>
  <c r="CH67" i="23"/>
  <c r="BF62" i="23"/>
  <c r="DV62" i="23" s="1"/>
  <c r="BE62" i="23"/>
  <c r="CI55" i="23"/>
  <c r="CH55" i="23"/>
  <c r="CC30" i="23"/>
  <c r="CP30" i="23" s="1"/>
  <c r="CR30" i="23" s="1"/>
  <c r="CB30" i="23"/>
  <c r="CO30" i="23" s="1"/>
  <c r="CQ30" i="23" s="1"/>
  <c r="DZ30" i="23" s="1"/>
  <c r="ET30" i="23" s="1"/>
  <c r="CP28" i="23"/>
  <c r="CR28" i="23" s="1"/>
  <c r="CO28" i="23"/>
  <c r="CQ28" i="23" s="1"/>
  <c r="DZ28" i="23" s="1"/>
  <c r="ET28" i="23" s="1"/>
  <c r="CI24" i="23"/>
  <c r="CH24" i="23"/>
  <c r="BF18" i="23"/>
  <c r="DV18" i="23" s="1"/>
  <c r="BE18" i="23"/>
  <c r="CC12" i="23"/>
  <c r="CB12" i="23"/>
  <c r="CO12" i="23" s="1"/>
  <c r="CQ12" i="23" s="1"/>
  <c r="DZ12" i="23" s="1"/>
  <c r="CH70" i="23"/>
  <c r="CP68" i="23"/>
  <c r="CR68" i="23" s="1"/>
  <c r="BW68" i="23"/>
  <c r="DY68" i="23" s="1"/>
  <c r="CC56" i="23"/>
  <c r="CP56" i="23" s="1"/>
  <c r="CR56" i="23" s="1"/>
  <c r="DO54" i="23"/>
  <c r="DP54" i="23" s="1"/>
  <c r="EE54" i="23" s="1"/>
  <c r="BW42" i="23"/>
  <c r="DY42" i="23" s="1"/>
  <c r="BE90" i="23"/>
  <c r="BS81" i="23"/>
  <c r="DF80" i="23"/>
  <c r="DG80" i="23" s="1"/>
  <c r="EN80" i="23" s="1"/>
  <c r="DF76" i="23"/>
  <c r="DG76" i="23" s="1"/>
  <c r="EM76" i="23" s="1"/>
  <c r="BS72" i="23"/>
  <c r="EP72" i="23" s="1"/>
  <c r="CI70" i="23"/>
  <c r="CB70" i="23"/>
  <c r="BN68" i="23"/>
  <c r="DW68" i="23" s="1"/>
  <c r="EN67" i="23"/>
  <c r="BE65" i="23"/>
  <c r="CP61" i="23"/>
  <c r="CR61" i="23" s="1"/>
  <c r="EJ56" i="23"/>
  <c r="EL56" i="23" s="1"/>
  <c r="CH52" i="23"/>
  <c r="BS52" i="23"/>
  <c r="BE52" i="23"/>
  <c r="BI43" i="23"/>
  <c r="BN43" i="23" s="1"/>
  <c r="DW43" i="23" s="1"/>
  <c r="EK26" i="23"/>
  <c r="EL26" i="23" s="1"/>
  <c r="EJ24" i="23"/>
  <c r="EL24" i="23" s="1"/>
  <c r="BN22" i="23"/>
  <c r="DW22" i="23" s="1"/>
  <c r="CI50" i="23"/>
  <c r="CH50" i="23"/>
  <c r="CH47" i="23"/>
  <c r="CI47" i="23"/>
  <c r="CI40" i="23"/>
  <c r="CH40" i="23"/>
  <c r="CB39" i="23"/>
  <c r="CC39" i="23"/>
  <c r="CP39" i="23" s="1"/>
  <c r="CR39" i="23" s="1"/>
  <c r="CO37" i="23"/>
  <c r="CQ37" i="23" s="1"/>
  <c r="DZ37" i="23" s="1"/>
  <c r="ET37" i="23" s="1"/>
  <c r="EN32" i="23"/>
  <c r="EM32" i="23"/>
  <c r="BF24" i="23"/>
  <c r="DV24" i="23" s="1"/>
  <c r="EK24" i="23" s="1"/>
  <c r="BE24" i="23"/>
  <c r="AZ67" i="23"/>
  <c r="DU67" i="23" s="1"/>
  <c r="CI66" i="23"/>
  <c r="BW59" i="23"/>
  <c r="DY59" i="23" s="1"/>
  <c r="CZ58" i="23"/>
  <c r="EB58" i="23" s="1"/>
  <c r="EJ58" i="23" s="1"/>
  <c r="BN57" i="23"/>
  <c r="DW57" i="23" s="1"/>
  <c r="EQ57" i="23" s="1"/>
  <c r="BI56" i="23"/>
  <c r="BN56" i="23" s="1"/>
  <c r="DW56" i="23" s="1"/>
  <c r="CZ47" i="23"/>
  <c r="EB47" i="23" s="1"/>
  <c r="CZ45" i="23"/>
  <c r="EB45" i="23" s="1"/>
  <c r="CP22" i="23"/>
  <c r="CR22" i="23" s="1"/>
  <c r="DT20" i="23"/>
  <c r="EF20" i="23" s="1"/>
  <c r="BS20" i="23"/>
  <c r="BW18" i="23"/>
  <c r="DY18" i="23" s="1"/>
  <c r="DT17" i="23"/>
  <c r="EF17" i="23" s="1"/>
  <c r="CH16" i="23"/>
  <c r="DI55" i="23"/>
  <c r="DF55" i="23"/>
  <c r="DG55" i="23" s="1"/>
  <c r="EN55" i="23" s="1"/>
  <c r="BF54" i="23"/>
  <c r="DV54" i="23" s="1"/>
  <c r="EK54" i="23" s="1"/>
  <c r="BE54" i="23"/>
  <c r="BE28" i="23"/>
  <c r="BF28" i="23"/>
  <c r="DV28" i="23" s="1"/>
  <c r="DI14" i="23"/>
  <c r="DF14" i="23"/>
  <c r="DG14" i="23" s="1"/>
  <c r="EM14" i="23" s="1"/>
  <c r="CP63" i="23"/>
  <c r="CR63" i="23" s="1"/>
  <c r="BN62" i="23"/>
  <c r="DW62" i="23" s="1"/>
  <c r="DT61" i="23"/>
  <c r="EF61" i="23" s="1"/>
  <c r="BE57" i="23"/>
  <c r="CO56" i="23"/>
  <c r="CQ56" i="23" s="1"/>
  <c r="DZ56" i="23" s="1"/>
  <c r="BW56" i="23"/>
  <c r="DY56" i="23" s="1"/>
  <c r="AZ56" i="23"/>
  <c r="DU56" i="23" s="1"/>
  <c r="BS55" i="23"/>
  <c r="BN48" i="23"/>
  <c r="DW48" i="23" s="1"/>
  <c r="BN45" i="23"/>
  <c r="DW45" i="23" s="1"/>
  <c r="EP45" i="23" s="1"/>
  <c r="BN41" i="23"/>
  <c r="DW41" i="23" s="1"/>
  <c r="BS27" i="23"/>
  <c r="DO22" i="23"/>
  <c r="DP22" i="23" s="1"/>
  <c r="EE22" i="23" s="1"/>
  <c r="BN17" i="23"/>
  <c r="DW17" i="23" s="1"/>
  <c r="EQ17" i="23" s="1"/>
  <c r="CP44" i="23"/>
  <c r="CR44" i="23" s="1"/>
  <c r="CO44" i="23"/>
  <c r="CQ44" i="23" s="1"/>
  <c r="DZ44" i="23" s="1"/>
  <c r="ET44" i="23" s="1"/>
  <c r="CC27" i="23"/>
  <c r="CP27" i="23" s="1"/>
  <c r="CR27" i="23" s="1"/>
  <c r="CB27" i="23"/>
  <c r="CO27" i="23" s="1"/>
  <c r="CQ27" i="23" s="1"/>
  <c r="DZ27" i="23" s="1"/>
  <c r="CP25" i="23"/>
  <c r="CR25" i="23" s="1"/>
  <c r="EN15" i="23"/>
  <c r="EM15" i="23"/>
  <c r="CO63" i="23"/>
  <c r="CQ63" i="23" s="1"/>
  <c r="DZ63" i="23" s="1"/>
  <c r="ET63" i="23" s="1"/>
  <c r="CH63" i="23"/>
  <c r="DF60" i="23"/>
  <c r="DG60" i="23" s="1"/>
  <c r="EM60" i="23" s="1"/>
  <c r="BN59" i="23"/>
  <c r="DW59" i="23" s="1"/>
  <c r="EP59" i="23" s="1"/>
  <c r="CC54" i="23"/>
  <c r="CP54" i="23" s="1"/>
  <c r="CR54" i="23" s="1"/>
  <c r="CP53" i="23"/>
  <c r="CR53" i="23" s="1"/>
  <c r="DF52" i="23"/>
  <c r="DG52" i="23" s="1"/>
  <c r="EM52" i="23" s="1"/>
  <c r="DN50" i="23"/>
  <c r="DO50" i="23" s="1"/>
  <c r="DP50" i="23" s="1"/>
  <c r="EE50" i="23" s="1"/>
  <c r="EQ50" i="23" s="1"/>
  <c r="DN49" i="23"/>
  <c r="DO49" i="23" s="1"/>
  <c r="DP49" i="23" s="1"/>
  <c r="EE49" i="23" s="1"/>
  <c r="CO42" i="23"/>
  <c r="CQ42" i="23" s="1"/>
  <c r="DZ42" i="23" s="1"/>
  <c r="ET42" i="23" s="1"/>
  <c r="BN35" i="23"/>
  <c r="DW35" i="23" s="1"/>
  <c r="AZ35" i="23"/>
  <c r="DU35" i="23" s="1"/>
  <c r="BN32" i="23"/>
  <c r="DW32" i="23" s="1"/>
  <c r="EP32" i="23" s="1"/>
  <c r="DN31" i="23"/>
  <c r="DO31" i="23" s="1"/>
  <c r="DP31" i="23" s="1"/>
  <c r="EE31" i="23" s="1"/>
  <c r="CC29" i="23"/>
  <c r="CP29" i="23" s="1"/>
  <c r="CR29" i="23" s="1"/>
  <c r="BN29" i="23"/>
  <c r="DW29" i="23" s="1"/>
  <c r="EK27" i="23"/>
  <c r="EL27" i="23" s="1"/>
  <c r="BW21" i="23"/>
  <c r="DY21" i="23" s="1"/>
  <c r="BW13" i="23"/>
  <c r="DY13" i="23" s="1"/>
  <c r="CI53" i="23"/>
  <c r="CH53" i="23"/>
  <c r="CO50" i="23"/>
  <c r="CQ50" i="23" s="1"/>
  <c r="DZ50" i="23" s="1"/>
  <c r="ET50" i="23" s="1"/>
  <c r="CI49" i="23"/>
  <c r="CH49" i="23"/>
  <c r="CC35" i="23"/>
  <c r="CP35" i="23" s="1"/>
  <c r="CR35" i="23" s="1"/>
  <c r="CB35" i="23"/>
  <c r="CO35" i="23" s="1"/>
  <c r="CQ35" i="23" s="1"/>
  <c r="DZ35" i="23" s="1"/>
  <c r="EN25" i="23"/>
  <c r="CC24" i="23"/>
  <c r="CP24" i="23" s="1"/>
  <c r="CR24" i="23" s="1"/>
  <c r="CB24" i="23"/>
  <c r="CO24" i="23" s="1"/>
  <c r="CQ24" i="23" s="1"/>
  <c r="DZ24" i="23" s="1"/>
  <c r="EM23" i="23"/>
  <c r="DI19" i="23"/>
  <c r="DF19" i="23"/>
  <c r="DG19" i="23" s="1"/>
  <c r="EM19" i="23" s="1"/>
  <c r="EP17" i="23"/>
  <c r="EQ14" i="23"/>
  <c r="ER14" i="23" s="1"/>
  <c r="BN65" i="23"/>
  <c r="DW65" i="23" s="1"/>
  <c r="EQ65" i="23" s="1"/>
  <c r="CO64" i="23"/>
  <c r="CQ64" i="23" s="1"/>
  <c r="DZ64" i="23" s="1"/>
  <c r="ET64" i="23" s="1"/>
  <c r="DN63" i="23"/>
  <c r="DO63" i="23" s="1"/>
  <c r="DP63" i="23" s="1"/>
  <c r="EE63" i="23" s="1"/>
  <c r="DN61" i="23"/>
  <c r="DO61" i="23" s="1"/>
  <c r="DP61" i="23" s="1"/>
  <c r="EE61" i="23" s="1"/>
  <c r="DN58" i="23"/>
  <c r="DO58" i="23" s="1"/>
  <c r="DP58" i="23" s="1"/>
  <c r="EE58" i="23" s="1"/>
  <c r="EP58" i="23" s="1"/>
  <c r="DN55" i="23"/>
  <c r="DO55" i="23" s="1"/>
  <c r="DP55" i="23" s="1"/>
  <c r="EE55" i="23" s="1"/>
  <c r="BN54" i="23"/>
  <c r="DW54" i="23" s="1"/>
  <c r="DN53" i="23"/>
  <c r="DO53" i="23" s="1"/>
  <c r="DP53" i="23" s="1"/>
  <c r="EE53" i="23" s="1"/>
  <c r="AZ53" i="23"/>
  <c r="DU53" i="23" s="1"/>
  <c r="BI51" i="23"/>
  <c r="BN51" i="23" s="1"/>
  <c r="DW51" i="23" s="1"/>
  <c r="DN47" i="23"/>
  <c r="DO47" i="23" s="1"/>
  <c r="DP47" i="23" s="1"/>
  <c r="EE47" i="23" s="1"/>
  <c r="EL46" i="23"/>
  <c r="BI40" i="23"/>
  <c r="DN28" i="23"/>
  <c r="DO28" i="23" s="1"/>
  <c r="DP28" i="23" s="1"/>
  <c r="EE28" i="23" s="1"/>
  <c r="CZ20" i="23"/>
  <c r="EB20" i="23" s="1"/>
  <c r="EJ20" i="23" s="1"/>
  <c r="BN18" i="23"/>
  <c r="DW18" i="23" s="1"/>
  <c r="CB15" i="23"/>
  <c r="CO15" i="23" s="1"/>
  <c r="CQ15" i="23" s="1"/>
  <c r="DZ15" i="23" s="1"/>
  <c r="ET15" i="23" s="1"/>
  <c r="EM30" i="23"/>
  <c r="CI25" i="23"/>
  <c r="CH25" i="23"/>
  <c r="CP20" i="23"/>
  <c r="CR20" i="23" s="1"/>
  <c r="CO20" i="23"/>
  <c r="CQ20" i="23" s="1"/>
  <c r="DZ20" i="23" s="1"/>
  <c r="BF16" i="23"/>
  <c r="DV16" i="23" s="1"/>
  <c r="EK16" i="23" s="1"/>
  <c r="BE16" i="23"/>
  <c r="CB47" i="23"/>
  <c r="CO47" i="23" s="1"/>
  <c r="CQ47" i="23" s="1"/>
  <c r="DZ47" i="23" s="1"/>
  <c r="CZ43" i="23"/>
  <c r="EB43" i="23" s="1"/>
  <c r="EJ43" i="23" s="1"/>
  <c r="AZ43" i="23"/>
  <c r="DU43" i="23" s="1"/>
  <c r="BS42" i="23"/>
  <c r="BN33" i="23"/>
  <c r="DW33" i="23" s="1"/>
  <c r="CO32" i="23"/>
  <c r="CQ32" i="23" s="1"/>
  <c r="DZ32" i="23" s="1"/>
  <c r="ET32" i="23" s="1"/>
  <c r="BE30" i="23"/>
  <c r="BW29" i="23"/>
  <c r="DY29" i="23" s="1"/>
  <c r="BS28" i="23"/>
  <c r="DN25" i="23"/>
  <c r="DO25" i="23" s="1"/>
  <c r="DP25" i="23" s="1"/>
  <c r="EE25" i="23" s="1"/>
  <c r="DN23" i="23"/>
  <c r="DO23" i="23" s="1"/>
  <c r="DP23" i="23" s="1"/>
  <c r="EE23" i="23" s="1"/>
  <c r="CH23" i="23"/>
  <c r="BN21" i="23"/>
  <c r="DW21" i="23" s="1"/>
  <c r="DN20" i="23"/>
  <c r="DO20" i="23" s="1"/>
  <c r="DP20" i="23" s="1"/>
  <c r="EE20" i="23" s="1"/>
  <c r="AZ18" i="23"/>
  <c r="DU18" i="23" s="1"/>
  <c r="CP15" i="23"/>
  <c r="CR15" i="23" s="1"/>
  <c r="CZ14" i="23"/>
  <c r="EB14" i="23" s="1"/>
  <c r="EJ14" i="23" s="1"/>
  <c r="AZ13" i="23"/>
  <c r="DU13" i="23" s="1"/>
  <c r="EN46" i="23"/>
  <c r="CC43" i="23"/>
  <c r="CB43" i="23"/>
  <c r="BF40" i="23"/>
  <c r="DV40" i="23" s="1"/>
  <c r="EK40" i="23" s="1"/>
  <c r="BE40" i="23"/>
  <c r="CI20" i="23"/>
  <c r="CH20" i="23"/>
  <c r="CP12" i="23"/>
  <c r="CR12" i="23" s="1"/>
  <c r="BE46" i="23"/>
  <c r="CP41" i="23"/>
  <c r="CR41" i="23" s="1"/>
  <c r="CO39" i="23"/>
  <c r="CQ39" i="23" s="1"/>
  <c r="DZ39" i="23" s="1"/>
  <c r="ET39" i="23" s="1"/>
  <c r="BS38" i="23"/>
  <c r="DF37" i="23"/>
  <c r="DG37" i="23" s="1"/>
  <c r="EM37" i="23" s="1"/>
  <c r="BW34" i="23"/>
  <c r="DY34" i="23" s="1"/>
  <c r="DF33" i="23"/>
  <c r="DG33" i="23" s="1"/>
  <c r="EM33" i="23" s="1"/>
  <c r="DT31" i="23"/>
  <c r="EF31" i="23" s="1"/>
  <c r="CZ25" i="23"/>
  <c r="EB25" i="23" s="1"/>
  <c r="CZ23" i="23"/>
  <c r="EB23" i="23" s="1"/>
  <c r="AZ23" i="23"/>
  <c r="DU23" i="23" s="1"/>
  <c r="DT19" i="23"/>
  <c r="EF19" i="23" s="1"/>
  <c r="DN17" i="23"/>
  <c r="DO17" i="23" s="1"/>
  <c r="DP17" i="23" s="1"/>
  <c r="EE17" i="23" s="1"/>
  <c r="CP17" i="23"/>
  <c r="CR17" i="23" s="1"/>
  <c r="CH15" i="23"/>
  <c r="DN12" i="23"/>
  <c r="DO12" i="23" s="1"/>
  <c r="DP12" i="23" s="1"/>
  <c r="EE12" i="23" s="1"/>
  <c r="CI41" i="23"/>
  <c r="CH41" i="23"/>
  <c r="CI17" i="23"/>
  <c r="CH17" i="23"/>
  <c r="CI12" i="23"/>
  <c r="CH12" i="23"/>
  <c r="DT47" i="23"/>
  <c r="EF47" i="23" s="1"/>
  <c r="BI47" i="23"/>
  <c r="BN47" i="23" s="1"/>
  <c r="DW47" i="23" s="1"/>
  <c r="BS44" i="23"/>
  <c r="BF44" i="23"/>
  <c r="DV44" i="23" s="1"/>
  <c r="EK44" i="23" s="1"/>
  <c r="DN41" i="23"/>
  <c r="DO41" i="23" s="1"/>
  <c r="DP41" i="23" s="1"/>
  <c r="EE41" i="23" s="1"/>
  <c r="CO41" i="23"/>
  <c r="CQ41" i="23" s="1"/>
  <c r="DZ41" i="23" s="1"/>
  <c r="ET41" i="23" s="1"/>
  <c r="BN40" i="23"/>
  <c r="DW40" i="23" s="1"/>
  <c r="DN39" i="23"/>
  <c r="DO39" i="23" s="1"/>
  <c r="DP39" i="23" s="1"/>
  <c r="EE39" i="23" s="1"/>
  <c r="CH39" i="23"/>
  <c r="BE37" i="23"/>
  <c r="AZ37" i="23"/>
  <c r="DU37" i="23" s="1"/>
  <c r="DF35" i="23"/>
  <c r="DG35" i="23" s="1"/>
  <c r="EM35" i="23" s="1"/>
  <c r="CZ35" i="23"/>
  <c r="EB35" i="23" s="1"/>
  <c r="EJ35" i="23" s="1"/>
  <c r="AZ34" i="23"/>
  <c r="DU34" i="23" s="1"/>
  <c r="CC32" i="23"/>
  <c r="CP32" i="23" s="1"/>
  <c r="CR32" i="23" s="1"/>
  <c r="BS30" i="23"/>
  <c r="DF29" i="23"/>
  <c r="DG29" i="23" s="1"/>
  <c r="BS25" i="23"/>
  <c r="BI24" i="23"/>
  <c r="BN24" i="23" s="1"/>
  <c r="DW24" i="23" s="1"/>
  <c r="CI22" i="23"/>
  <c r="BN19" i="23"/>
  <c r="DW19" i="23" s="1"/>
  <c r="CZ15" i="23"/>
  <c r="EB15" i="23" s="1"/>
  <c r="AZ15" i="23"/>
  <c r="DU15" i="23" s="1"/>
  <c r="CC46" i="23"/>
  <c r="CB46" i="23"/>
  <c r="CI36" i="23"/>
  <c r="CH36" i="23"/>
  <c r="BF32" i="23"/>
  <c r="DV32" i="23" s="1"/>
  <c r="BE32" i="23"/>
  <c r="CC19" i="23"/>
  <c r="CP19" i="23" s="1"/>
  <c r="CR19" i="23" s="1"/>
  <c r="CB19" i="23"/>
  <c r="CO19" i="23" s="1"/>
  <c r="CQ19" i="23" s="1"/>
  <c r="DZ19" i="23" s="1"/>
  <c r="ET19" i="23" s="1"/>
  <c r="CC48" i="23"/>
  <c r="CP48" i="23" s="1"/>
  <c r="CR48" i="23" s="1"/>
  <c r="BW45" i="23"/>
  <c r="DY45" i="23" s="1"/>
  <c r="CZ41" i="23"/>
  <c r="EB41" i="23" s="1"/>
  <c r="EJ41" i="23" s="1"/>
  <c r="CZ39" i="23"/>
  <c r="EB39" i="23" s="1"/>
  <c r="EJ39" i="23" s="1"/>
  <c r="AZ39" i="23"/>
  <c r="DU39" i="23" s="1"/>
  <c r="BN37" i="23"/>
  <c r="DW37" i="23" s="1"/>
  <c r="DN36" i="23"/>
  <c r="DO36" i="23" s="1"/>
  <c r="DP36" i="23" s="1"/>
  <c r="EE36" i="23" s="1"/>
  <c r="DT35" i="23"/>
  <c r="EF35" i="23" s="1"/>
  <c r="BS34" i="23"/>
  <c r="CO31" i="23"/>
  <c r="CQ31" i="23" s="1"/>
  <c r="DZ31" i="23" s="1"/>
  <c r="ET31" i="23" s="1"/>
  <c r="CZ30" i="23"/>
  <c r="EB30" i="23" s="1"/>
  <c r="EJ30" i="23" s="1"/>
  <c r="AZ29" i="23"/>
  <c r="DU29" i="23" s="1"/>
  <c r="DT26" i="23"/>
  <c r="EF26" i="23" s="1"/>
  <c r="CO26" i="23"/>
  <c r="CQ26" i="23" s="1"/>
  <c r="DZ26" i="23" s="1"/>
  <c r="ET26" i="23" s="1"/>
  <c r="CB25" i="23"/>
  <c r="CO25" i="23" s="1"/>
  <c r="CQ25" i="23" s="1"/>
  <c r="DZ25" i="23" s="1"/>
  <c r="BN25" i="23"/>
  <c r="DW25" i="23" s="1"/>
  <c r="EP25" i="23" s="1"/>
  <c r="CB23" i="23"/>
  <c r="CO23" i="23" s="1"/>
  <c r="CQ23" i="23" s="1"/>
  <c r="DZ23" i="23" s="1"/>
  <c r="CP21" i="23"/>
  <c r="CR21" i="23" s="1"/>
  <c r="CZ17" i="23"/>
  <c r="EB17" i="23" s="1"/>
  <c r="BI16" i="23"/>
  <c r="BN16" i="23" s="1"/>
  <c r="DW16" i="23" s="1"/>
  <c r="CI14" i="23"/>
  <c r="BE43" i="23"/>
  <c r="BE35" i="23"/>
  <c r="BE27" i="23"/>
  <c r="BE19" i="23"/>
  <c r="AX11" i="23"/>
  <c r="AY11" i="23"/>
  <c r="BC11" i="23"/>
  <c r="BD11" i="23"/>
  <c r="BJ11" i="23"/>
  <c r="BI11" i="23" s="1"/>
  <c r="BK11" i="23"/>
  <c r="BL11" i="23"/>
  <c r="BM11" i="23"/>
  <c r="BQ11" i="23"/>
  <c r="BR11" i="23"/>
  <c r="BT11" i="23"/>
  <c r="BU11" i="23"/>
  <c r="BV11" i="23"/>
  <c r="BX11" i="23"/>
  <c r="BY11" i="23" s="1"/>
  <c r="CD11" i="23"/>
  <c r="CE11" i="23"/>
  <c r="CK11" i="23"/>
  <c r="CJ11" i="23"/>
  <c r="CN11" i="23"/>
  <c r="CV11" i="23"/>
  <c r="CW11" i="23"/>
  <c r="CX11" i="23"/>
  <c r="CY11" i="23"/>
  <c r="DA11" i="23"/>
  <c r="DB11" i="23"/>
  <c r="DC11" i="23" s="1"/>
  <c r="DE11" i="23"/>
  <c r="DH11" i="23"/>
  <c r="DL11" i="23"/>
  <c r="DM11" i="23"/>
  <c r="DS11" i="23"/>
  <c r="B32" i="16"/>
  <c r="C32" i="16"/>
  <c r="B33" i="16"/>
  <c r="C33" i="16"/>
  <c r="B34" i="16"/>
  <c r="C34" i="16"/>
  <c r="B35" i="16"/>
  <c r="C35" i="16"/>
  <c r="B36" i="16"/>
  <c r="C36" i="16"/>
  <c r="B37" i="16"/>
  <c r="C37" i="16"/>
  <c r="B38" i="16"/>
  <c r="C38" i="16"/>
  <c r="B39" i="16"/>
  <c r="C39" i="16"/>
  <c r="B49" i="16"/>
  <c r="B50" i="16"/>
  <c r="B51" i="16"/>
  <c r="B52" i="16"/>
  <c r="B53" i="16"/>
  <c r="B54" i="16"/>
  <c r="B55" i="16"/>
  <c r="B56" i="16"/>
  <c r="B26" i="14"/>
  <c r="C26" i="14"/>
  <c r="D26" i="14"/>
  <c r="E26" i="14"/>
  <c r="F26" i="14"/>
  <c r="G26" i="14"/>
  <c r="B27" i="14"/>
  <c r="C27" i="14"/>
  <c r="D27" i="14"/>
  <c r="E27" i="14"/>
  <c r="F27" i="14"/>
  <c r="G27" i="14"/>
  <c r="B28" i="14"/>
  <c r="C28" i="14"/>
  <c r="D28" i="14"/>
  <c r="E28" i="14"/>
  <c r="F28" i="14"/>
  <c r="G28" i="14"/>
  <c r="B29" i="14"/>
  <c r="C29" i="14"/>
  <c r="D29" i="14"/>
  <c r="E29" i="14"/>
  <c r="F29" i="14"/>
  <c r="G29" i="14"/>
  <c r="B30" i="14"/>
  <c r="C30" i="14"/>
  <c r="D30" i="14"/>
  <c r="E30" i="14"/>
  <c r="F30" i="14"/>
  <c r="G30" i="14"/>
  <c r="B31" i="14"/>
  <c r="C31" i="14"/>
  <c r="D31" i="14"/>
  <c r="E31" i="14"/>
  <c r="F31" i="14"/>
  <c r="G31" i="14"/>
  <c r="B32" i="14"/>
  <c r="C32" i="14"/>
  <c r="D32" i="14"/>
  <c r="E32" i="14"/>
  <c r="F32" i="14"/>
  <c r="G32" i="14"/>
  <c r="B33" i="14"/>
  <c r="C33" i="14"/>
  <c r="D33" i="14"/>
  <c r="E33" i="14"/>
  <c r="F33" i="14"/>
  <c r="G33" i="14"/>
  <c r="B34" i="14"/>
  <c r="C34" i="14"/>
  <c r="D34" i="14"/>
  <c r="E34" i="14"/>
  <c r="F34" i="14"/>
  <c r="G34" i="14"/>
  <c r="B35" i="14"/>
  <c r="C35" i="14"/>
  <c r="D35" i="14"/>
  <c r="E35" i="14"/>
  <c r="F35" i="14"/>
  <c r="G35" i="14"/>
  <c r="B36" i="14"/>
  <c r="C36" i="14"/>
  <c r="D36" i="14"/>
  <c r="E36" i="14"/>
  <c r="F36" i="14"/>
  <c r="G36" i="14"/>
  <c r="D49" i="14"/>
  <c r="G49" i="14" s="1"/>
  <c r="J49" i="14" s="1"/>
  <c r="G50" i="14"/>
  <c r="J50" i="14" s="1"/>
  <c r="G51" i="14"/>
  <c r="J51" i="14" s="1"/>
  <c r="G52" i="14"/>
  <c r="J52" i="14" s="1"/>
  <c r="G53" i="14"/>
  <c r="J53" i="14" s="1"/>
  <c r="G54" i="14"/>
  <c r="J54" i="14" s="1"/>
  <c r="G55" i="14"/>
  <c r="J55" i="14" s="1"/>
  <c r="G56" i="14"/>
  <c r="J56" i="14" s="1"/>
  <c r="G57" i="14"/>
  <c r="J57" i="14" s="1"/>
  <c r="G58" i="14"/>
  <c r="J58" i="14" s="1"/>
  <c r="G59" i="14"/>
  <c r="J59" i="14" s="1"/>
  <c r="G60" i="14"/>
  <c r="J60" i="14" s="1"/>
  <c r="G61" i="14"/>
  <c r="J61" i="14" s="1"/>
  <c r="G62" i="14"/>
  <c r="J62" i="14" s="1"/>
  <c r="G63" i="14"/>
  <c r="J63" i="14" s="1"/>
  <c r="G64" i="14"/>
  <c r="J64" i="14" s="1"/>
  <c r="G65" i="14"/>
  <c r="J65" i="14" s="1"/>
  <c r="G66" i="14"/>
  <c r="J66" i="14" s="1"/>
  <c r="G67" i="14"/>
  <c r="J67" i="14" s="1"/>
  <c r="G68" i="14"/>
  <c r="J68" i="14" s="1"/>
  <c r="G69" i="14"/>
  <c r="J69" i="14" s="1"/>
  <c r="G70" i="14"/>
  <c r="J70" i="14"/>
  <c r="G71" i="14"/>
  <c r="J71" i="14" s="1"/>
  <c r="G72" i="14"/>
  <c r="J72" i="14" s="1"/>
  <c r="G73" i="14"/>
  <c r="J73" i="14" s="1"/>
  <c r="G74" i="14"/>
  <c r="J74" i="14" s="1"/>
  <c r="G75" i="14"/>
  <c r="J75" i="14" s="1"/>
  <c r="G76" i="14"/>
  <c r="J76" i="14" s="1"/>
  <c r="G77" i="14"/>
  <c r="J77" i="14" s="1"/>
  <c r="G78" i="14"/>
  <c r="J78" i="14" s="1"/>
  <c r="G79" i="14"/>
  <c r="J79" i="14" s="1"/>
  <c r="G80" i="14"/>
  <c r="J80" i="14" s="1"/>
  <c r="G81" i="14"/>
  <c r="J81" i="14" s="1"/>
  <c r="G82" i="14"/>
  <c r="J82" i="14" s="1"/>
  <c r="G83" i="14"/>
  <c r="J83" i="14" s="1"/>
  <c r="G84" i="14"/>
  <c r="J84" i="14" s="1"/>
  <c r="G85" i="14"/>
  <c r="J85" i="14" s="1"/>
  <c r="G86" i="14"/>
  <c r="J86" i="14" s="1"/>
  <c r="G87" i="14"/>
  <c r="J87" i="14" s="1"/>
  <c r="G88" i="14"/>
  <c r="J88" i="14" s="1"/>
  <c r="G89" i="14"/>
  <c r="J89" i="14" s="1"/>
  <c r="G90" i="14"/>
  <c r="J90" i="14" s="1"/>
  <c r="G91" i="14"/>
  <c r="J91" i="14" s="1"/>
  <c r="G92" i="14"/>
  <c r="J92" i="14" s="1"/>
  <c r="G93" i="14"/>
  <c r="J93" i="14" s="1"/>
  <c r="G94" i="14"/>
  <c r="J94" i="14" s="1"/>
  <c r="G95" i="14"/>
  <c r="J95" i="14" s="1"/>
  <c r="G96" i="14"/>
  <c r="J96" i="14" s="1"/>
  <c r="G97" i="14"/>
  <c r="J97" i="14" s="1"/>
  <c r="G98" i="14"/>
  <c r="J98" i="14" s="1"/>
  <c r="G99" i="14"/>
  <c r="J99" i="14" s="1"/>
  <c r="G100" i="14"/>
  <c r="J100" i="14" s="1"/>
  <c r="G101" i="14"/>
  <c r="J101" i="14" s="1"/>
  <c r="G102" i="14"/>
  <c r="J102" i="14"/>
  <c r="G103" i="14"/>
  <c r="J103" i="14" s="1"/>
  <c r="G104" i="14"/>
  <c r="J104" i="14" s="1"/>
  <c r="G105" i="14"/>
  <c r="J105" i="14" s="1"/>
  <c r="G106" i="14"/>
  <c r="J106" i="14" s="1"/>
  <c r="G107" i="14"/>
  <c r="J107" i="14" s="1"/>
  <c r="G108" i="14"/>
  <c r="J108" i="14" s="1"/>
  <c r="G109" i="14"/>
  <c r="J109" i="14" s="1"/>
  <c r="G110" i="14"/>
  <c r="J110" i="14" s="1"/>
  <c r="G111" i="14"/>
  <c r="J111" i="14" s="1"/>
  <c r="G112" i="14"/>
  <c r="J112" i="14" s="1"/>
  <c r="G113" i="14"/>
  <c r="J113" i="14" s="1"/>
  <c r="G114" i="14"/>
  <c r="J114" i="14" s="1"/>
  <c r="G115" i="14"/>
  <c r="J115" i="14" s="1"/>
  <c r="G116" i="14"/>
  <c r="J116" i="14" s="1"/>
  <c r="G117" i="14"/>
  <c r="J117" i="14" s="1"/>
  <c r="G118" i="14"/>
  <c r="J118" i="14" s="1"/>
  <c r="G119" i="14"/>
  <c r="J119" i="14" s="1"/>
  <c r="G120" i="14"/>
  <c r="J120" i="14" s="1"/>
  <c r="G121" i="14"/>
  <c r="J121" i="14" s="1"/>
  <c r="G122" i="14"/>
  <c r="J122" i="14" s="1"/>
  <c r="G123" i="14"/>
  <c r="J123" i="14" s="1"/>
  <c r="G124" i="14"/>
  <c r="J124" i="14" s="1"/>
  <c r="G125" i="14"/>
  <c r="J125" i="14" s="1"/>
  <c r="G126" i="14"/>
  <c r="J126" i="14" s="1"/>
  <c r="G127" i="14"/>
  <c r="J127" i="14" s="1"/>
  <c r="G128" i="14"/>
  <c r="J128" i="14" s="1"/>
  <c r="B17" i="11"/>
  <c r="C17" i="11"/>
  <c r="D17" i="11"/>
  <c r="B18" i="11"/>
  <c r="C18" i="11"/>
  <c r="D18" i="11"/>
  <c r="B19" i="11"/>
  <c r="C19" i="11"/>
  <c r="D19" i="11"/>
  <c r="B20" i="11"/>
  <c r="C20" i="11"/>
  <c r="D20" i="11"/>
  <c r="B21" i="11"/>
  <c r="C21" i="11"/>
  <c r="D21" i="11"/>
  <c r="B22" i="11"/>
  <c r="C22" i="11"/>
  <c r="D22" i="11"/>
  <c r="B23" i="11"/>
  <c r="C23" i="11"/>
  <c r="D23" i="11"/>
  <c r="B24" i="11"/>
  <c r="C24" i="11"/>
  <c r="D24" i="11"/>
  <c r="B25" i="11"/>
  <c r="C25" i="11"/>
  <c r="D25" i="11"/>
  <c r="B26" i="11"/>
  <c r="C26" i="11"/>
  <c r="D26" i="11"/>
  <c r="K36" i="11"/>
  <c r="K37" i="11"/>
  <c r="K38" i="11"/>
  <c r="O44" i="10"/>
  <c r="P44" i="10"/>
  <c r="O45" i="10"/>
  <c r="P45" i="10"/>
  <c r="I123" i="10" s="1"/>
  <c r="O46" i="10"/>
  <c r="P46" i="10"/>
  <c r="O47" i="10"/>
  <c r="P47" i="10"/>
  <c r="G108" i="10" s="1"/>
  <c r="O48" i="10"/>
  <c r="P48" i="10"/>
  <c r="B108" i="10" s="1"/>
  <c r="O49" i="10"/>
  <c r="P49" i="10"/>
  <c r="O50" i="10"/>
  <c r="P50" i="10"/>
  <c r="O51" i="10"/>
  <c r="P51" i="10"/>
  <c r="O52" i="10"/>
  <c r="P52" i="10"/>
  <c r="O53" i="10"/>
  <c r="P53" i="10"/>
  <c r="O54" i="10"/>
  <c r="P54" i="10"/>
  <c r="B64" i="10"/>
  <c r="C64" i="10" s="1"/>
  <c r="D64" i="10"/>
  <c r="E64" i="10" s="1"/>
  <c r="B65" i="10"/>
  <c r="D65" i="10"/>
  <c r="E65" i="10" s="1"/>
  <c r="H65" i="10"/>
  <c r="K65" i="10"/>
  <c r="B66" i="10"/>
  <c r="D66" i="10"/>
  <c r="E66" i="10" s="1"/>
  <c r="H66" i="10"/>
  <c r="K66" i="10"/>
  <c r="B67" i="10"/>
  <c r="D67" i="10"/>
  <c r="E67" i="10" s="1"/>
  <c r="H67" i="10"/>
  <c r="K67" i="10"/>
  <c r="H68" i="10"/>
  <c r="K68" i="10"/>
  <c r="G81" i="10"/>
  <c r="G82" i="10"/>
  <c r="G83" i="10"/>
  <c r="G84" i="10"/>
  <c r="G85" i="10"/>
  <c r="C94" i="10"/>
  <c r="D95" i="10"/>
  <c r="G95" i="10"/>
  <c r="C97" i="10"/>
  <c r="G97" i="10"/>
  <c r="G98" i="10"/>
  <c r="C108" i="10"/>
  <c r="B109" i="10"/>
  <c r="B340" i="10" s="1"/>
  <c r="C109" i="10"/>
  <c r="D109" i="10"/>
  <c r="D99" i="10" s="1"/>
  <c r="D100" i="10"/>
  <c r="E109" i="10"/>
  <c r="E99" i="10" s="1"/>
  <c r="F109" i="10"/>
  <c r="F332" i="10" s="1"/>
  <c r="G109" i="10"/>
  <c r="G102" i="10" s="1"/>
  <c r="I119" i="10"/>
  <c r="F118" i="10"/>
  <c r="G118" i="10" s="1"/>
  <c r="I124" i="10"/>
  <c r="F127" i="10"/>
  <c r="G127" i="10" s="1"/>
  <c r="F130" i="10"/>
  <c r="G130" i="10" s="1"/>
  <c r="F131" i="10"/>
  <c r="G131" i="10" s="1"/>
  <c r="F133" i="10"/>
  <c r="G133" i="10" s="1"/>
  <c r="F134" i="10"/>
  <c r="G134" i="10" s="1"/>
  <c r="H141" i="10"/>
  <c r="P141" i="10"/>
  <c r="S141" i="10" s="1"/>
  <c r="H142" i="10"/>
  <c r="P142" i="10"/>
  <c r="S142" i="10" s="1"/>
  <c r="Z142" i="10"/>
  <c r="W153" i="10" s="1"/>
  <c r="X153" i="10" s="1"/>
  <c r="H143" i="10"/>
  <c r="P143" i="10"/>
  <c r="S143" i="10" s="1"/>
  <c r="H144" i="10"/>
  <c r="P144" i="10"/>
  <c r="S144" i="10" s="1"/>
  <c r="H145" i="10"/>
  <c r="P145" i="10"/>
  <c r="S145" i="10" s="1"/>
  <c r="H146" i="10"/>
  <c r="P146" i="10"/>
  <c r="S146" i="10" s="1"/>
  <c r="H147" i="10"/>
  <c r="P147" i="10"/>
  <c r="S147" i="10" s="1"/>
  <c r="H148" i="10"/>
  <c r="P148" i="10"/>
  <c r="S148" i="10"/>
  <c r="H149" i="10"/>
  <c r="P149" i="10"/>
  <c r="S149" i="10" s="1"/>
  <c r="H150" i="10"/>
  <c r="P150" i="10"/>
  <c r="S150" i="10" s="1"/>
  <c r="H151" i="10"/>
  <c r="P151" i="10"/>
  <c r="S151" i="10" s="1"/>
  <c r="H152" i="10"/>
  <c r="P152" i="10"/>
  <c r="S152" i="10" s="1"/>
  <c r="H153" i="10"/>
  <c r="P153" i="10"/>
  <c r="S153" i="10" s="1"/>
  <c r="H154" i="10"/>
  <c r="P154" i="10"/>
  <c r="S154" i="10" s="1"/>
  <c r="H155" i="10"/>
  <c r="P155" i="10"/>
  <c r="S155" i="10" s="1"/>
  <c r="H156" i="10"/>
  <c r="P156" i="10"/>
  <c r="S156" i="10" s="1"/>
  <c r="H157" i="10"/>
  <c r="P157" i="10"/>
  <c r="S157" i="10" s="1"/>
  <c r="H158" i="10"/>
  <c r="P158" i="10"/>
  <c r="S158" i="10" s="1"/>
  <c r="H159" i="10"/>
  <c r="P159" i="10"/>
  <c r="S159" i="10" s="1"/>
  <c r="H160" i="10"/>
  <c r="P160" i="10"/>
  <c r="S160" i="10" s="1"/>
  <c r="D164" i="10"/>
  <c r="D165" i="10"/>
  <c r="J165" i="10"/>
  <c r="G164" i="10" s="1"/>
  <c r="H164" i="10" s="1"/>
  <c r="D166" i="10"/>
  <c r="D167" i="10"/>
  <c r="D168" i="10"/>
  <c r="D174" i="10"/>
  <c r="E174" i="10"/>
  <c r="F174" i="10"/>
  <c r="D175" i="10"/>
  <c r="E175" i="10"/>
  <c r="F175" i="10" s="1"/>
  <c r="D176" i="10"/>
  <c r="E176" i="10"/>
  <c r="F176" i="10" s="1"/>
  <c r="D177" i="10"/>
  <c r="E177" i="10"/>
  <c r="F177" i="10" s="1"/>
  <c r="I177" i="10" s="1"/>
  <c r="J177" i="10" s="1"/>
  <c r="D178" i="10"/>
  <c r="E178" i="10"/>
  <c r="F178" i="10" s="1"/>
  <c r="D179" i="10"/>
  <c r="E179" i="10"/>
  <c r="F179" i="10" s="1"/>
  <c r="L179" i="10"/>
  <c r="D180" i="10"/>
  <c r="E180" i="10"/>
  <c r="F180" i="10" s="1"/>
  <c r="C325" i="10"/>
  <c r="D326" i="10"/>
  <c r="F326" i="10"/>
  <c r="D327" i="10"/>
  <c r="C328" i="10"/>
  <c r="D329" i="10"/>
  <c r="G329" i="10"/>
  <c r="D340" i="10"/>
  <c r="C17" i="8"/>
  <c r="C18" i="8"/>
  <c r="D31" i="8" s="1"/>
  <c r="C19" i="8"/>
  <c r="C20" i="8"/>
  <c r="F27" i="8" s="1"/>
  <c r="B31" i="8"/>
  <c r="C34" i="8"/>
  <c r="G36" i="8"/>
  <c r="G50" i="8"/>
  <c r="J50" i="8" s="1"/>
  <c r="G51" i="8"/>
  <c r="J51" i="8" s="1"/>
  <c r="G52" i="8"/>
  <c r="J52" i="8" s="1"/>
  <c r="G53" i="8"/>
  <c r="J53" i="8" s="1"/>
  <c r="G54" i="8"/>
  <c r="J54" i="8" s="1"/>
  <c r="G55" i="8"/>
  <c r="J55" i="8" s="1"/>
  <c r="G56" i="8"/>
  <c r="J56" i="8" s="1"/>
  <c r="G57" i="8"/>
  <c r="J57" i="8"/>
  <c r="G58" i="8"/>
  <c r="J58" i="8" s="1"/>
  <c r="G59" i="8"/>
  <c r="J59" i="8" s="1"/>
  <c r="G60" i="8"/>
  <c r="J60" i="8" s="1"/>
  <c r="G61" i="8"/>
  <c r="J61" i="8" s="1"/>
  <c r="G62" i="8"/>
  <c r="J62" i="8" s="1"/>
  <c r="G63" i="8"/>
  <c r="J63" i="8" s="1"/>
  <c r="G64" i="8"/>
  <c r="J64" i="8" s="1"/>
  <c r="G65" i="8"/>
  <c r="J65" i="8"/>
  <c r="G66" i="8"/>
  <c r="J66" i="8" s="1"/>
  <c r="G67" i="8"/>
  <c r="J67" i="8" s="1"/>
  <c r="G68" i="8"/>
  <c r="J68" i="8" s="1"/>
  <c r="G69" i="8"/>
  <c r="J69" i="8" s="1"/>
  <c r="G70" i="8"/>
  <c r="J70" i="8" s="1"/>
  <c r="G71" i="8"/>
  <c r="J71" i="8"/>
  <c r="G72" i="8"/>
  <c r="J72" i="8" s="1"/>
  <c r="G73" i="8"/>
  <c r="J73" i="8" s="1"/>
  <c r="G74" i="8"/>
  <c r="J74" i="8" s="1"/>
  <c r="G75" i="8"/>
  <c r="J75" i="8" s="1"/>
  <c r="G76" i="8"/>
  <c r="J76" i="8" s="1"/>
  <c r="G77" i="8"/>
  <c r="J77" i="8"/>
  <c r="G78" i="8"/>
  <c r="J78" i="8" s="1"/>
  <c r="G79" i="8"/>
  <c r="J79" i="8" s="1"/>
  <c r="G80" i="8"/>
  <c r="J80" i="8" s="1"/>
  <c r="G81" i="8"/>
  <c r="J81" i="8"/>
  <c r="G82" i="8"/>
  <c r="J82" i="8" s="1"/>
  <c r="G83" i="8"/>
  <c r="J83" i="8" s="1"/>
  <c r="G84" i="8"/>
  <c r="J84" i="8" s="1"/>
  <c r="G85" i="8"/>
  <c r="J85" i="8" s="1"/>
  <c r="G86" i="8"/>
  <c r="J86" i="8" s="1"/>
  <c r="G87" i="8"/>
  <c r="J87" i="8" s="1"/>
  <c r="G88" i="8"/>
  <c r="J88" i="8" s="1"/>
  <c r="G89" i="8"/>
  <c r="J89" i="8"/>
  <c r="G90" i="8"/>
  <c r="J90" i="8" s="1"/>
  <c r="G91" i="8"/>
  <c r="J91" i="8" s="1"/>
  <c r="G92" i="8"/>
  <c r="J92" i="8" s="1"/>
  <c r="G93" i="8"/>
  <c r="J93" i="8" s="1"/>
  <c r="G94" i="8"/>
  <c r="J94" i="8" s="1"/>
  <c r="G95" i="8"/>
  <c r="J95" i="8" s="1"/>
  <c r="G96" i="8"/>
  <c r="J96" i="8" s="1"/>
  <c r="G97" i="8"/>
  <c r="J97" i="8"/>
  <c r="G98" i="8"/>
  <c r="J98" i="8" s="1"/>
  <c r="G99" i="8"/>
  <c r="J99" i="8" s="1"/>
  <c r="G100" i="8"/>
  <c r="J100" i="8" s="1"/>
  <c r="G101" i="8"/>
  <c r="J101" i="8" s="1"/>
  <c r="G102" i="8"/>
  <c r="J102" i="8" s="1"/>
  <c r="G103" i="8"/>
  <c r="J103" i="8"/>
  <c r="G104" i="8"/>
  <c r="J104" i="8" s="1"/>
  <c r="G105" i="8"/>
  <c r="J105" i="8" s="1"/>
  <c r="G106" i="8"/>
  <c r="J106" i="8" s="1"/>
  <c r="G107" i="8"/>
  <c r="J107" i="8" s="1"/>
  <c r="G108" i="8"/>
  <c r="J108" i="8" s="1"/>
  <c r="G109" i="8"/>
  <c r="J109" i="8"/>
  <c r="G110" i="8"/>
  <c r="J110" i="8" s="1"/>
  <c r="G111" i="8"/>
  <c r="J111" i="8" s="1"/>
  <c r="G112" i="8"/>
  <c r="J112" i="8" s="1"/>
  <c r="G113" i="8"/>
  <c r="J113" i="8"/>
  <c r="G114" i="8"/>
  <c r="J114" i="8" s="1"/>
  <c r="G115" i="8"/>
  <c r="J115" i="8" s="1"/>
  <c r="G116" i="8"/>
  <c r="J116" i="8" s="1"/>
  <c r="G117" i="8"/>
  <c r="J117" i="8" s="1"/>
  <c r="G118" i="8"/>
  <c r="J118" i="8" s="1"/>
  <c r="G119" i="8"/>
  <c r="J119" i="8" s="1"/>
  <c r="G120" i="8"/>
  <c r="J120" i="8" s="1"/>
  <c r="G121" i="8"/>
  <c r="J121" i="8"/>
  <c r="G122" i="8"/>
  <c r="J122" i="8" s="1"/>
  <c r="G123" i="8"/>
  <c r="J123" i="8" s="1"/>
  <c r="G124" i="8"/>
  <c r="J124" i="8" s="1"/>
  <c r="G125" i="8"/>
  <c r="J125" i="8" s="1"/>
  <c r="G126" i="8"/>
  <c r="J126" i="8" s="1"/>
  <c r="G127" i="8"/>
  <c r="J127" i="8" s="1"/>
  <c r="G128" i="8"/>
  <c r="J128" i="8" s="1"/>
  <c r="G129" i="8"/>
  <c r="J129" i="8"/>
  <c r="F17" i="7"/>
  <c r="C66" i="7" s="1"/>
  <c r="F18" i="7"/>
  <c r="D19" i="7"/>
  <c r="E19" i="7"/>
  <c r="F19" i="7" s="1"/>
  <c r="D20" i="7"/>
  <c r="F21" i="7"/>
  <c r="E22" i="7"/>
  <c r="F22" i="7" s="1"/>
  <c r="F23" i="7"/>
  <c r="D68" i="7" s="1"/>
  <c r="F24" i="7"/>
  <c r="F25" i="7"/>
  <c r="F26" i="7"/>
  <c r="F27" i="7"/>
  <c r="F28" i="7"/>
  <c r="F29" i="7"/>
  <c r="F30" i="7"/>
  <c r="F31" i="7"/>
  <c r="F32" i="7"/>
  <c r="F33" i="7"/>
  <c r="B43" i="7"/>
  <c r="C43" i="7"/>
  <c r="D43" i="7"/>
  <c r="E43" i="7"/>
  <c r="F43" i="7"/>
  <c r="B44" i="7"/>
  <c r="C44" i="7"/>
  <c r="D44" i="7"/>
  <c r="E44" i="7"/>
  <c r="F44" i="7"/>
  <c r="B45" i="7"/>
  <c r="C45" i="7"/>
  <c r="D45" i="7"/>
  <c r="E45" i="7"/>
  <c r="F45" i="7"/>
  <c r="B46" i="7"/>
  <c r="C46" i="7"/>
  <c r="D46" i="7"/>
  <c r="E46" i="7"/>
  <c r="F46" i="7"/>
  <c r="B47" i="7"/>
  <c r="C47" i="7"/>
  <c r="D47" i="7"/>
  <c r="E47" i="7"/>
  <c r="F47" i="7"/>
  <c r="B48" i="7"/>
  <c r="C48" i="7"/>
  <c r="D48" i="7"/>
  <c r="E48" i="7"/>
  <c r="F48" i="7"/>
  <c r="B49" i="7"/>
  <c r="C49" i="7"/>
  <c r="D49" i="7"/>
  <c r="E49" i="7"/>
  <c r="F49" i="7"/>
  <c r="B50" i="7"/>
  <c r="C50" i="7"/>
  <c r="D50" i="7"/>
  <c r="E50" i="7"/>
  <c r="F50" i="7"/>
  <c r="B51" i="7"/>
  <c r="C51" i="7"/>
  <c r="D51" i="7"/>
  <c r="E51" i="7"/>
  <c r="F51" i="7"/>
  <c r="B52" i="7"/>
  <c r="C52" i="7"/>
  <c r="D52" i="7"/>
  <c r="E52" i="7"/>
  <c r="F52" i="7"/>
  <c r="B53" i="7"/>
  <c r="C53" i="7"/>
  <c r="D53" i="7"/>
  <c r="E53" i="7"/>
  <c r="F53" i="7"/>
  <c r="B58" i="7"/>
  <c r="B59" i="7"/>
  <c r="C59" i="7"/>
  <c r="B60" i="7"/>
  <c r="C60" i="7"/>
  <c r="E61" i="7"/>
  <c r="C62" i="7"/>
  <c r="B63" i="7"/>
  <c r="E63" i="7"/>
  <c r="E64" i="7"/>
  <c r="B65" i="7"/>
  <c r="C65" i="7"/>
  <c r="B66" i="7"/>
  <c r="B67" i="7"/>
  <c r="F67" i="7"/>
  <c r="B68" i="7"/>
  <c r="K75" i="7"/>
  <c r="L75" i="7"/>
  <c r="K76" i="7"/>
  <c r="L76" i="7"/>
  <c r="K77" i="7"/>
  <c r="L77" i="7"/>
  <c r="K78" i="7"/>
  <c r="L78" i="7"/>
  <c r="K79" i="7"/>
  <c r="L79" i="7"/>
  <c r="K80" i="7"/>
  <c r="L80" i="7"/>
  <c r="K81" i="7"/>
  <c r="L81" i="7"/>
  <c r="K82" i="7"/>
  <c r="L82" i="7"/>
  <c r="K83" i="7"/>
  <c r="L83" i="7"/>
  <c r="K84" i="7"/>
  <c r="L84" i="7"/>
  <c r="K85" i="7"/>
  <c r="L85" i="7"/>
  <c r="K86" i="7"/>
  <c r="L86" i="7"/>
  <c r="G87" i="7"/>
  <c r="H87" i="7"/>
  <c r="K88" i="7"/>
  <c r="L88" i="7"/>
  <c r="K89" i="7"/>
  <c r="L89" i="7"/>
  <c r="K90" i="7"/>
  <c r="L90" i="7"/>
  <c r="K91" i="7"/>
  <c r="L91" i="7"/>
  <c r="K92" i="7"/>
  <c r="L92" i="7"/>
  <c r="K93" i="7"/>
  <c r="L93" i="7"/>
  <c r="K94" i="7"/>
  <c r="L94" i="7"/>
  <c r="K95" i="7"/>
  <c r="L95" i="7"/>
  <c r="K96" i="7"/>
  <c r="L96" i="7"/>
  <c r="K97" i="7"/>
  <c r="L97" i="7"/>
  <c r="K98" i="7"/>
  <c r="L98" i="7"/>
  <c r="K99" i="7"/>
  <c r="L99" i="7"/>
  <c r="H100" i="7"/>
  <c r="G100" i="7" s="1"/>
  <c r="K100" i="7" s="1"/>
  <c r="H101" i="7"/>
  <c r="G101" i="7" s="1"/>
  <c r="K101" i="7" s="1"/>
  <c r="K102" i="7"/>
  <c r="L102" i="7"/>
  <c r="K103" i="7"/>
  <c r="L103" i="7"/>
  <c r="K104" i="7"/>
  <c r="L104" i="7"/>
  <c r="K105" i="7"/>
  <c r="L105" i="7"/>
  <c r="K106" i="7"/>
  <c r="L106" i="7"/>
  <c r="K107" i="7"/>
  <c r="L107" i="7"/>
  <c r="K108" i="7"/>
  <c r="L108" i="7"/>
  <c r="K109" i="7"/>
  <c r="L109" i="7"/>
  <c r="K110" i="7"/>
  <c r="L110" i="7"/>
  <c r="K111" i="7"/>
  <c r="L111" i="7"/>
  <c r="K112" i="7"/>
  <c r="L112" i="7"/>
  <c r="K113" i="7"/>
  <c r="L113" i="7"/>
  <c r="K114" i="7"/>
  <c r="L114" i="7"/>
  <c r="K115" i="7"/>
  <c r="L115" i="7"/>
  <c r="K116" i="7"/>
  <c r="L116" i="7"/>
  <c r="K117" i="7"/>
  <c r="L117" i="7"/>
  <c r="K118" i="7"/>
  <c r="L118" i="7"/>
  <c r="K119" i="7"/>
  <c r="L119" i="7"/>
  <c r="K120" i="7"/>
  <c r="L120" i="7"/>
  <c r="K121" i="7"/>
  <c r="L121" i="7"/>
  <c r="K122" i="7"/>
  <c r="L122" i="7"/>
  <c r="K123" i="7"/>
  <c r="L123" i="7"/>
  <c r="K124" i="7"/>
  <c r="L124" i="7"/>
  <c r="K125" i="7"/>
  <c r="L125" i="7"/>
  <c r="K126" i="7"/>
  <c r="L126" i="7"/>
  <c r="K127" i="7"/>
  <c r="L127" i="7"/>
  <c r="K128" i="7"/>
  <c r="L128" i="7"/>
  <c r="K129" i="7"/>
  <c r="L129" i="7"/>
  <c r="K130" i="7"/>
  <c r="L130" i="7"/>
  <c r="K131" i="7"/>
  <c r="L131" i="7"/>
  <c r="K132" i="7"/>
  <c r="L132" i="7"/>
  <c r="K133" i="7"/>
  <c r="L133" i="7"/>
  <c r="K134" i="7"/>
  <c r="L134" i="7"/>
  <c r="K135" i="7"/>
  <c r="L135" i="7"/>
  <c r="K136" i="7"/>
  <c r="L136" i="7"/>
  <c r="K137" i="7"/>
  <c r="L137" i="7"/>
  <c r="K138" i="7"/>
  <c r="L138" i="7"/>
  <c r="H139" i="7"/>
  <c r="K140" i="7"/>
  <c r="L140" i="7"/>
  <c r="K141" i="7"/>
  <c r="L141" i="7"/>
  <c r="K142" i="7"/>
  <c r="L142" i="7"/>
  <c r="K143" i="7"/>
  <c r="L143" i="7"/>
  <c r="K144" i="7"/>
  <c r="L144" i="7"/>
  <c r="K145" i="7"/>
  <c r="L145" i="7"/>
  <c r="K146" i="7"/>
  <c r="L146" i="7"/>
  <c r="K147" i="7"/>
  <c r="L147" i="7"/>
  <c r="K148" i="7"/>
  <c r="L148" i="7"/>
  <c r="K149" i="7"/>
  <c r="L149" i="7"/>
  <c r="K150" i="7"/>
  <c r="L150" i="7"/>
  <c r="K151" i="7"/>
  <c r="L151" i="7"/>
  <c r="K152" i="7"/>
  <c r="L152" i="7"/>
  <c r="K153" i="7"/>
  <c r="L153" i="7"/>
  <c r="H154" i="7"/>
  <c r="K154" i="7" s="1"/>
  <c r="K155" i="7"/>
  <c r="L155" i="7"/>
  <c r="K156" i="7"/>
  <c r="L156" i="7"/>
  <c r="K157" i="7"/>
  <c r="L157" i="7"/>
  <c r="K158" i="7"/>
  <c r="L158" i="7"/>
  <c r="G159" i="7"/>
  <c r="L159" i="7" s="1"/>
  <c r="H159" i="7"/>
  <c r="K160" i="7"/>
  <c r="L160" i="7"/>
  <c r="K161" i="7"/>
  <c r="L161" i="7"/>
  <c r="K162" i="7"/>
  <c r="L162" i="7"/>
  <c r="K163" i="7"/>
  <c r="L163" i="7"/>
  <c r="K164" i="7"/>
  <c r="L164" i="7"/>
  <c r="K165" i="7"/>
  <c r="L165" i="7"/>
  <c r="K166" i="7"/>
  <c r="L166" i="7"/>
  <c r="K167" i="7"/>
  <c r="L167" i="7"/>
  <c r="K168" i="7"/>
  <c r="L168" i="7"/>
  <c r="K169" i="7"/>
  <c r="L169" i="7"/>
  <c r="K170" i="7"/>
  <c r="L170" i="7"/>
  <c r="H171" i="7"/>
  <c r="K172" i="7"/>
  <c r="L172" i="7"/>
  <c r="K173" i="7"/>
  <c r="L173" i="7"/>
  <c r="K174" i="7"/>
  <c r="L174" i="7"/>
  <c r="K175" i="7"/>
  <c r="L175" i="7"/>
  <c r="K176" i="7"/>
  <c r="L176" i="7"/>
  <c r="K177" i="7"/>
  <c r="L177" i="7"/>
  <c r="K178" i="7"/>
  <c r="L178" i="7"/>
  <c r="K179" i="7"/>
  <c r="L179" i="7"/>
  <c r="K180" i="7"/>
  <c r="L180" i="7"/>
  <c r="K181" i="7"/>
  <c r="L181" i="7"/>
  <c r="K182" i="7"/>
  <c r="L182" i="7"/>
  <c r="C22" i="6"/>
  <c r="C23" i="6"/>
  <c r="B46" i="6" s="1"/>
  <c r="C24" i="6"/>
  <c r="B40" i="6"/>
  <c r="B44" i="6"/>
  <c r="G59" i="6"/>
  <c r="J59" i="6" s="1"/>
  <c r="G60" i="6"/>
  <c r="J60" i="6" s="1"/>
  <c r="G61" i="6"/>
  <c r="J61" i="6" s="1"/>
  <c r="G62" i="6"/>
  <c r="J62" i="6" s="1"/>
  <c r="G63" i="6"/>
  <c r="J63" i="6" s="1"/>
  <c r="G64" i="6"/>
  <c r="J64" i="6" s="1"/>
  <c r="G65" i="6"/>
  <c r="J65" i="6" s="1"/>
  <c r="G66" i="6"/>
  <c r="J66" i="6"/>
  <c r="G67" i="6"/>
  <c r="J67" i="6" s="1"/>
  <c r="G68" i="6"/>
  <c r="J68" i="6" s="1"/>
  <c r="G69" i="6"/>
  <c r="J69" i="6" s="1"/>
  <c r="G70" i="6"/>
  <c r="J70" i="6" s="1"/>
  <c r="G71" i="6"/>
  <c r="J71" i="6" s="1"/>
  <c r="G72" i="6"/>
  <c r="J72" i="6" s="1"/>
  <c r="G73" i="6"/>
  <c r="J73" i="6" s="1"/>
  <c r="G74" i="6"/>
  <c r="J74" i="6" s="1"/>
  <c r="G75" i="6"/>
  <c r="J75" i="6" s="1"/>
  <c r="G76" i="6"/>
  <c r="J76" i="6"/>
  <c r="G77" i="6"/>
  <c r="J77" i="6" s="1"/>
  <c r="G78" i="6"/>
  <c r="J78" i="6" s="1"/>
  <c r="G79" i="6"/>
  <c r="J79" i="6" s="1"/>
  <c r="G80" i="6"/>
  <c r="J80" i="6" s="1"/>
  <c r="G81" i="6"/>
  <c r="J81" i="6" s="1"/>
  <c r="G82" i="6"/>
  <c r="J82" i="6" s="1"/>
  <c r="G83" i="6"/>
  <c r="J83" i="6" s="1"/>
  <c r="G84" i="6"/>
  <c r="J84" i="6" s="1"/>
  <c r="G85" i="6"/>
  <c r="J85" i="6" s="1"/>
  <c r="G86" i="6"/>
  <c r="J86" i="6"/>
  <c r="G87" i="6"/>
  <c r="J87" i="6" s="1"/>
  <c r="G88" i="6"/>
  <c r="J88" i="6" s="1"/>
  <c r="G89" i="6"/>
  <c r="J89" i="6" s="1"/>
  <c r="G90" i="6"/>
  <c r="J90" i="6" s="1"/>
  <c r="G91" i="6"/>
  <c r="J91" i="6" s="1"/>
  <c r="G92" i="6"/>
  <c r="J92" i="6" s="1"/>
  <c r="G93" i="6"/>
  <c r="J93" i="6" s="1"/>
  <c r="G94" i="6"/>
  <c r="J94" i="6" s="1"/>
  <c r="G95" i="6"/>
  <c r="J95" i="6" s="1"/>
  <c r="G96" i="6"/>
  <c r="J96" i="6" s="1"/>
  <c r="G97" i="6"/>
  <c r="J97" i="6" s="1"/>
  <c r="G98" i="6"/>
  <c r="J98" i="6"/>
  <c r="G99" i="6"/>
  <c r="J99" i="6" s="1"/>
  <c r="G100" i="6"/>
  <c r="J100" i="6" s="1"/>
  <c r="G101" i="6"/>
  <c r="J101" i="6" s="1"/>
  <c r="G102" i="6"/>
  <c r="J102" i="6" s="1"/>
  <c r="G103" i="6"/>
  <c r="J103" i="6" s="1"/>
  <c r="G104" i="6"/>
  <c r="J104" i="6" s="1"/>
  <c r="G105" i="6"/>
  <c r="J105" i="6" s="1"/>
  <c r="G106" i="6"/>
  <c r="J106" i="6" s="1"/>
  <c r="G107" i="6"/>
  <c r="J107" i="6" s="1"/>
  <c r="G108" i="6"/>
  <c r="J108" i="6"/>
  <c r="G109" i="6"/>
  <c r="J109" i="6" s="1"/>
  <c r="G110" i="6"/>
  <c r="J110" i="6" s="1"/>
  <c r="G111" i="6"/>
  <c r="J111" i="6" s="1"/>
  <c r="G112" i="6"/>
  <c r="J112" i="6" s="1"/>
  <c r="G113" i="6"/>
  <c r="J113" i="6" s="1"/>
  <c r="G114" i="6"/>
  <c r="J114" i="6" s="1"/>
  <c r="G115" i="6"/>
  <c r="J115" i="6" s="1"/>
  <c r="G116" i="6"/>
  <c r="J116" i="6" s="1"/>
  <c r="G117" i="6"/>
  <c r="J117" i="6" s="1"/>
  <c r="G118" i="6"/>
  <c r="J118" i="6"/>
  <c r="G119" i="6"/>
  <c r="J119" i="6" s="1"/>
  <c r="G120" i="6"/>
  <c r="J120" i="6" s="1"/>
  <c r="G121" i="6"/>
  <c r="J121" i="6" s="1"/>
  <c r="G122" i="6"/>
  <c r="J122" i="6" s="1"/>
  <c r="G123" i="6"/>
  <c r="J123" i="6" s="1"/>
  <c r="D124" i="6"/>
  <c r="G124" i="6" s="1"/>
  <c r="J124" i="6" s="1"/>
  <c r="D125" i="6"/>
  <c r="G125" i="6" s="1"/>
  <c r="J125" i="6" s="1"/>
  <c r="D126" i="6"/>
  <c r="G126" i="6" s="1"/>
  <c r="J126" i="6" s="1"/>
  <c r="D127" i="6"/>
  <c r="G127" i="6" s="1"/>
  <c r="J127" i="6" s="1"/>
  <c r="D128" i="6"/>
  <c r="G128" i="6" s="1"/>
  <c r="J128" i="6" s="1"/>
  <c r="D129" i="6"/>
  <c r="G129" i="6"/>
  <c r="J129" i="6" s="1"/>
  <c r="D130" i="6"/>
  <c r="G130" i="6" s="1"/>
  <c r="J130" i="6" s="1"/>
  <c r="D131" i="6"/>
  <c r="G131" i="6" s="1"/>
  <c r="J131" i="6" s="1"/>
  <c r="D132" i="6"/>
  <c r="G132" i="6"/>
  <c r="J132" i="6" s="1"/>
  <c r="D133" i="6"/>
  <c r="G133" i="6"/>
  <c r="J133" i="6" s="1"/>
  <c r="D134" i="6"/>
  <c r="G134" i="6" s="1"/>
  <c r="J134" i="6" s="1"/>
  <c r="D135" i="6"/>
  <c r="G135" i="6" s="1"/>
  <c r="J135" i="6" s="1"/>
  <c r="D136" i="6"/>
  <c r="G136" i="6" s="1"/>
  <c r="J136" i="6" s="1"/>
  <c r="D137" i="6"/>
  <c r="G137" i="6" s="1"/>
  <c r="J137" i="6" s="1"/>
  <c r="D138" i="6"/>
  <c r="G138" i="6" s="1"/>
  <c r="J138" i="6" s="1"/>
  <c r="D139" i="6"/>
  <c r="G139" i="6" s="1"/>
  <c r="J139" i="6" s="1"/>
  <c r="D140" i="6"/>
  <c r="G140" i="6" s="1"/>
  <c r="J140" i="6" s="1"/>
  <c r="D141" i="6"/>
  <c r="G141" i="6" s="1"/>
  <c r="J141" i="6" s="1"/>
  <c r="D142" i="6"/>
  <c r="G142" i="6" s="1"/>
  <c r="J142" i="6" s="1"/>
  <c r="D143" i="6"/>
  <c r="G143" i="6" s="1"/>
  <c r="J143" i="6" s="1"/>
  <c r="D144" i="6"/>
  <c r="G144" i="6" s="1"/>
  <c r="J144" i="6" s="1"/>
  <c r="D145" i="6"/>
  <c r="G145" i="6"/>
  <c r="J145" i="6" s="1"/>
  <c r="D146" i="6"/>
  <c r="G146" i="6" s="1"/>
  <c r="J146" i="6" s="1"/>
  <c r="D147" i="6"/>
  <c r="G147" i="6" s="1"/>
  <c r="J147" i="6" s="1"/>
  <c r="D148" i="6"/>
  <c r="G148" i="6"/>
  <c r="J148" i="6" s="1"/>
  <c r="D149" i="6"/>
  <c r="G149" i="6" s="1"/>
  <c r="J149" i="6" s="1"/>
  <c r="D150" i="6"/>
  <c r="G150" i="6" s="1"/>
  <c r="J150" i="6" s="1"/>
  <c r="D151" i="6"/>
  <c r="G151" i="6" s="1"/>
  <c r="J151" i="6" s="1"/>
  <c r="D152" i="6"/>
  <c r="G152" i="6" s="1"/>
  <c r="J152" i="6" s="1"/>
  <c r="D153" i="6"/>
  <c r="G153" i="6"/>
  <c r="J153" i="6" s="1"/>
  <c r="D154" i="6"/>
  <c r="G154" i="6" s="1"/>
  <c r="J154" i="6" s="1"/>
  <c r="D155" i="6"/>
  <c r="G155" i="6" s="1"/>
  <c r="J155" i="6" s="1"/>
  <c r="D156" i="6"/>
  <c r="G156" i="6"/>
  <c r="J156" i="6" s="1"/>
  <c r="D157" i="6"/>
  <c r="G157" i="6"/>
  <c r="J157" i="6" s="1"/>
  <c r="D158" i="6"/>
  <c r="G158" i="6" s="1"/>
  <c r="J158" i="6" s="1"/>
  <c r="D159" i="6"/>
  <c r="G159" i="6" s="1"/>
  <c r="J159" i="6" s="1"/>
  <c r="D160" i="6"/>
  <c r="G160" i="6" s="1"/>
  <c r="J160" i="6" s="1"/>
  <c r="D161" i="6"/>
  <c r="G161" i="6" s="1"/>
  <c r="J161" i="6" s="1"/>
  <c r="D162" i="6"/>
  <c r="G162" i="6" s="1"/>
  <c r="J162" i="6" s="1"/>
  <c r="D163" i="6"/>
  <c r="G163" i="6" s="1"/>
  <c r="J163" i="6" s="1"/>
  <c r="D164" i="6"/>
  <c r="G164" i="6" s="1"/>
  <c r="J164" i="6" s="1"/>
  <c r="D165" i="6"/>
  <c r="G165" i="6" s="1"/>
  <c r="J165" i="6" s="1"/>
  <c r="D166" i="6"/>
  <c r="G166" i="6" s="1"/>
  <c r="J166" i="6" s="1"/>
  <c r="D167" i="6"/>
  <c r="G167" i="6" s="1"/>
  <c r="J167" i="6" s="1"/>
  <c r="D168" i="6"/>
  <c r="G168" i="6" s="1"/>
  <c r="J168" i="6" s="1"/>
  <c r="D169" i="6"/>
  <c r="G169" i="6"/>
  <c r="J169" i="6" s="1"/>
  <c r="D170" i="6"/>
  <c r="G170" i="6" s="1"/>
  <c r="J170" i="6" s="1"/>
  <c r="D171" i="6"/>
  <c r="G171" i="6" s="1"/>
  <c r="J171" i="6" s="1"/>
  <c r="D172" i="6"/>
  <c r="G172" i="6"/>
  <c r="J172" i="6" s="1"/>
  <c r="D173" i="6"/>
  <c r="G173" i="6"/>
  <c r="J173" i="6" s="1"/>
  <c r="D174" i="6"/>
  <c r="G174" i="6" s="1"/>
  <c r="J174" i="6" s="1"/>
  <c r="D175" i="6"/>
  <c r="G175" i="6" s="1"/>
  <c r="J175" i="6" s="1"/>
  <c r="D176" i="6"/>
  <c r="G176" i="6" s="1"/>
  <c r="J176" i="6" s="1"/>
  <c r="D177" i="6"/>
  <c r="G177" i="6" s="1"/>
  <c r="J177" i="6" s="1"/>
  <c r="D178" i="6"/>
  <c r="G178" i="6" s="1"/>
  <c r="J178" i="6" s="1"/>
  <c r="D179" i="6"/>
  <c r="G179" i="6" s="1"/>
  <c r="J179" i="6" s="1"/>
  <c r="D180" i="6"/>
  <c r="G180" i="6" s="1"/>
  <c r="J180" i="6" s="1"/>
  <c r="D181" i="6"/>
  <c r="G181" i="6" s="1"/>
  <c r="J181" i="6" s="1"/>
  <c r="D182" i="6"/>
  <c r="G182" i="6" s="1"/>
  <c r="J182" i="6" s="1"/>
  <c r="D183" i="6"/>
  <c r="G183" i="6" s="1"/>
  <c r="J183" i="6" s="1"/>
  <c r="D184" i="6"/>
  <c r="G184" i="6" s="1"/>
  <c r="J184" i="6" s="1"/>
  <c r="D185" i="6"/>
  <c r="G185" i="6" s="1"/>
  <c r="J185" i="6" s="1"/>
  <c r="D186" i="6"/>
  <c r="G186" i="6" s="1"/>
  <c r="J186" i="6" s="1"/>
  <c r="D187" i="6"/>
  <c r="G187" i="6" s="1"/>
  <c r="J187" i="6" s="1"/>
  <c r="D188" i="6"/>
  <c r="G188" i="6" s="1"/>
  <c r="J188" i="6" s="1"/>
  <c r="D189" i="6"/>
  <c r="G189" i="6" s="1"/>
  <c r="J189" i="6" s="1"/>
  <c r="D190" i="6"/>
  <c r="G190" i="6" s="1"/>
  <c r="J190" i="6" s="1"/>
  <c r="D191" i="6"/>
  <c r="G191" i="6" s="1"/>
  <c r="J191" i="6" s="1"/>
  <c r="D192" i="6"/>
  <c r="G192" i="6" s="1"/>
  <c r="J192" i="6" s="1"/>
  <c r="D193" i="6"/>
  <c r="G193" i="6" s="1"/>
  <c r="J193" i="6" s="1"/>
  <c r="D194" i="6"/>
  <c r="G194" i="6" s="1"/>
  <c r="J194" i="6" s="1"/>
  <c r="D195" i="6"/>
  <c r="G195" i="6" s="1"/>
  <c r="J195" i="6" s="1"/>
  <c r="D196" i="6"/>
  <c r="G196" i="6" s="1"/>
  <c r="J196" i="6" s="1"/>
  <c r="D197" i="6"/>
  <c r="G197" i="6"/>
  <c r="J197" i="6" s="1"/>
  <c r="D198" i="6"/>
  <c r="G198" i="6" s="1"/>
  <c r="J198" i="6"/>
  <c r="D199" i="6"/>
  <c r="G199" i="6" s="1"/>
  <c r="J199" i="6" s="1"/>
  <c r="D200" i="6"/>
  <c r="G200" i="6" s="1"/>
  <c r="J200" i="6" s="1"/>
  <c r="D201" i="6"/>
  <c r="G201" i="6" s="1"/>
  <c r="J201" i="6" s="1"/>
  <c r="D202" i="6"/>
  <c r="G202" i="6" s="1"/>
  <c r="J202" i="6"/>
  <c r="D203" i="6"/>
  <c r="G203" i="6" s="1"/>
  <c r="J203" i="6" s="1"/>
  <c r="D204" i="6"/>
  <c r="G204" i="6" s="1"/>
  <c r="J204" i="6" s="1"/>
  <c r="D205" i="6"/>
  <c r="G205" i="6" s="1"/>
  <c r="J205" i="6" s="1"/>
  <c r="D206" i="6"/>
  <c r="G206" i="6" s="1"/>
  <c r="J206" i="6" s="1"/>
  <c r="D207" i="6"/>
  <c r="G207" i="6" s="1"/>
  <c r="J207" i="6" s="1"/>
  <c r="D208" i="6"/>
  <c r="G208" i="6" s="1"/>
  <c r="J208" i="6" s="1"/>
  <c r="D209" i="6"/>
  <c r="G209" i="6"/>
  <c r="J209" i="6" s="1"/>
  <c r="D210" i="6"/>
  <c r="G210" i="6" s="1"/>
  <c r="J210" i="6" s="1"/>
  <c r="D211" i="6"/>
  <c r="G211" i="6"/>
  <c r="J211" i="6" s="1"/>
  <c r="D212" i="6"/>
  <c r="G212" i="6" s="1"/>
  <c r="J212" i="6" s="1"/>
  <c r="D213" i="6"/>
  <c r="G213" i="6" s="1"/>
  <c r="J213" i="6" s="1"/>
  <c r="D214" i="6"/>
  <c r="G214" i="6" s="1"/>
  <c r="J214" i="6"/>
  <c r="D215" i="6"/>
  <c r="G215" i="6"/>
  <c r="J215" i="6" s="1"/>
  <c r="D216" i="6"/>
  <c r="G216" i="6"/>
  <c r="J216" i="6" s="1"/>
  <c r="D217" i="6"/>
  <c r="G217" i="6"/>
  <c r="J217" i="6" s="1"/>
  <c r="D218" i="6"/>
  <c r="G218" i="6" s="1"/>
  <c r="J218" i="6"/>
  <c r="D219" i="6"/>
  <c r="G219" i="6" s="1"/>
  <c r="J219" i="6" s="1"/>
  <c r="D220" i="6"/>
  <c r="G220" i="6" s="1"/>
  <c r="J220" i="6" s="1"/>
  <c r="D221" i="6"/>
  <c r="G221" i="6" s="1"/>
  <c r="J221" i="6" s="1"/>
  <c r="D222" i="6"/>
  <c r="G222" i="6" s="1"/>
  <c r="J222" i="6"/>
  <c r="D223" i="6"/>
  <c r="G223" i="6"/>
  <c r="J223" i="6" s="1"/>
  <c r="D224" i="6"/>
  <c r="G224" i="6"/>
  <c r="J224" i="6" s="1"/>
  <c r="D225" i="6"/>
  <c r="G225" i="6"/>
  <c r="J225" i="6" s="1"/>
  <c r="D226" i="6"/>
  <c r="G226" i="6" s="1"/>
  <c r="J226" i="6" s="1"/>
  <c r="D227" i="6"/>
  <c r="G227" i="6"/>
  <c r="J227" i="6" s="1"/>
  <c r="D228" i="6"/>
  <c r="G228" i="6" s="1"/>
  <c r="J228" i="6" s="1"/>
  <c r="D229" i="6"/>
  <c r="G229" i="6" s="1"/>
  <c r="J229" i="6" s="1"/>
  <c r="D230" i="6"/>
  <c r="G230" i="6" s="1"/>
  <c r="J230" i="6" s="1"/>
  <c r="D231" i="6"/>
  <c r="G231" i="6" s="1"/>
  <c r="J231" i="6" s="1"/>
  <c r="D232" i="6"/>
  <c r="G232" i="6"/>
  <c r="J232" i="6" s="1"/>
  <c r="D233" i="6"/>
  <c r="G233" i="6" s="1"/>
  <c r="J233" i="6" s="1"/>
  <c r="D234" i="6"/>
  <c r="G234" i="6" s="1"/>
  <c r="J234" i="6" s="1"/>
  <c r="D235" i="6"/>
  <c r="G235" i="6" s="1"/>
  <c r="J235" i="6" s="1"/>
  <c r="D236" i="6"/>
  <c r="G236" i="6"/>
  <c r="J236" i="6" s="1"/>
  <c r="D237" i="6"/>
  <c r="G237" i="6" s="1"/>
  <c r="J237" i="6" s="1"/>
  <c r="D238" i="6"/>
  <c r="G238" i="6" s="1"/>
  <c r="J238" i="6" s="1"/>
  <c r="D239" i="6"/>
  <c r="G239" i="6"/>
  <c r="J239" i="6" s="1"/>
  <c r="D240" i="6"/>
  <c r="G240" i="6" s="1"/>
  <c r="J240" i="6" s="1"/>
  <c r="D241" i="6"/>
  <c r="G241" i="6" s="1"/>
  <c r="J241" i="6" s="1"/>
  <c r="D242" i="6"/>
  <c r="G242" i="6" s="1"/>
  <c r="J242" i="6" s="1"/>
  <c r="D243" i="6"/>
  <c r="G243" i="6" s="1"/>
  <c r="J243" i="6" s="1"/>
  <c r="D244" i="6"/>
  <c r="G244" i="6" s="1"/>
  <c r="J244" i="6" s="1"/>
  <c r="D245" i="6"/>
  <c r="G245" i="6"/>
  <c r="J245" i="6" s="1"/>
  <c r="D246" i="6"/>
  <c r="G246" i="6" s="1"/>
  <c r="J246" i="6" s="1"/>
  <c r="D247" i="6"/>
  <c r="G247" i="6" s="1"/>
  <c r="J247" i="6" s="1"/>
  <c r="D248" i="6"/>
  <c r="G248" i="6" s="1"/>
  <c r="J248" i="6" s="1"/>
  <c r="D249" i="6"/>
  <c r="G249" i="6" s="1"/>
  <c r="J249" i="6" s="1"/>
  <c r="D250" i="6"/>
  <c r="G250" i="6" s="1"/>
  <c r="J250" i="6" s="1"/>
  <c r="D251" i="6"/>
  <c r="G251" i="6" s="1"/>
  <c r="J251" i="6" s="1"/>
  <c r="D252" i="6"/>
  <c r="G252" i="6"/>
  <c r="J252" i="6" s="1"/>
  <c r="D253" i="6"/>
  <c r="G253" i="6" s="1"/>
  <c r="J253" i="6" s="1"/>
  <c r="D254" i="6"/>
  <c r="G254" i="6" s="1"/>
  <c r="J254" i="6" s="1"/>
  <c r="D255" i="6"/>
  <c r="G255" i="6" s="1"/>
  <c r="J255" i="6" s="1"/>
  <c r="D256" i="6"/>
  <c r="G256" i="6" s="1"/>
  <c r="J256" i="6" s="1"/>
  <c r="D257" i="6"/>
  <c r="G257" i="6" s="1"/>
  <c r="J257" i="6" s="1"/>
  <c r="D258" i="6"/>
  <c r="G258" i="6" s="1"/>
  <c r="J258" i="6" s="1"/>
  <c r="D259" i="6"/>
  <c r="G259" i="6" s="1"/>
  <c r="J259" i="6" s="1"/>
  <c r="D260" i="6"/>
  <c r="G260" i="6" s="1"/>
  <c r="J260" i="6" s="1"/>
  <c r="D261" i="6"/>
  <c r="G261" i="6"/>
  <c r="J261" i="6" s="1"/>
  <c r="D262" i="6"/>
  <c r="G262" i="6" s="1"/>
  <c r="J262" i="6"/>
  <c r="D263" i="6"/>
  <c r="G263" i="6" s="1"/>
  <c r="J263" i="6" s="1"/>
  <c r="D264" i="6"/>
  <c r="G264" i="6" s="1"/>
  <c r="J264" i="6" s="1"/>
  <c r="D265" i="6"/>
  <c r="G265" i="6" s="1"/>
  <c r="J265" i="6" s="1"/>
  <c r="D266" i="6"/>
  <c r="G266" i="6" s="1"/>
  <c r="J266" i="6"/>
  <c r="D267" i="6"/>
  <c r="G267" i="6" s="1"/>
  <c r="J267" i="6" s="1"/>
  <c r="D268" i="6"/>
  <c r="G268" i="6" s="1"/>
  <c r="J268" i="6" s="1"/>
  <c r="D269" i="6"/>
  <c r="G269" i="6" s="1"/>
  <c r="J269" i="6" s="1"/>
  <c r="D270" i="6"/>
  <c r="G270" i="6"/>
  <c r="J270" i="6" s="1"/>
  <c r="D271" i="6"/>
  <c r="G271" i="6" s="1"/>
  <c r="J271" i="6" s="1"/>
  <c r="D272" i="6"/>
  <c r="G272" i="6" s="1"/>
  <c r="J272" i="6" s="1"/>
  <c r="D273" i="6"/>
  <c r="G273" i="6" s="1"/>
  <c r="J273" i="6" s="1"/>
  <c r="D274" i="6"/>
  <c r="G274" i="6" s="1"/>
  <c r="J274" i="6" s="1"/>
  <c r="D275" i="6"/>
  <c r="G275" i="6" s="1"/>
  <c r="J275" i="6" s="1"/>
  <c r="D276" i="6"/>
  <c r="G276" i="6"/>
  <c r="J276" i="6" s="1"/>
  <c r="D277" i="6"/>
  <c r="G277" i="6" s="1"/>
  <c r="J277" i="6" s="1"/>
  <c r="D278" i="6"/>
  <c r="G278" i="6" s="1"/>
  <c r="J278" i="6" s="1"/>
  <c r="D279" i="6"/>
  <c r="G279" i="6" s="1"/>
  <c r="J279" i="6" s="1"/>
  <c r="D280" i="6"/>
  <c r="G280" i="6" s="1"/>
  <c r="J280" i="6" s="1"/>
  <c r="D281" i="6"/>
  <c r="G281" i="6" s="1"/>
  <c r="J281" i="6" s="1"/>
  <c r="D282" i="6"/>
  <c r="G282" i="6" s="1"/>
  <c r="J282" i="6" s="1"/>
  <c r="D283" i="6"/>
  <c r="G283" i="6" s="1"/>
  <c r="J283" i="6" s="1"/>
  <c r="D284" i="6"/>
  <c r="G284" i="6"/>
  <c r="J284" i="6" s="1"/>
  <c r="D285" i="6"/>
  <c r="G285" i="6" s="1"/>
  <c r="J285" i="6" s="1"/>
  <c r="D286" i="6"/>
  <c r="G286" i="6" s="1"/>
  <c r="J286" i="6" s="1"/>
  <c r="D287" i="6"/>
  <c r="G287" i="6" s="1"/>
  <c r="J287" i="6" s="1"/>
  <c r="D288" i="6"/>
  <c r="G288" i="6" s="1"/>
  <c r="J288" i="6" s="1"/>
  <c r="D289" i="6"/>
  <c r="G289" i="6" s="1"/>
  <c r="J289" i="6" s="1"/>
  <c r="D290" i="6"/>
  <c r="G290" i="6"/>
  <c r="J290" i="6" s="1"/>
  <c r="D291" i="6"/>
  <c r="G291" i="6" s="1"/>
  <c r="J291" i="6" s="1"/>
  <c r="D292" i="6"/>
  <c r="G292" i="6" s="1"/>
  <c r="J292" i="6" s="1"/>
  <c r="D293" i="6"/>
  <c r="G293" i="6" s="1"/>
  <c r="J293" i="6" s="1"/>
  <c r="D294" i="6"/>
  <c r="G294" i="6"/>
  <c r="J294" i="6" s="1"/>
  <c r="D295" i="6"/>
  <c r="G295" i="6" s="1"/>
  <c r="J295" i="6" s="1"/>
  <c r="D296" i="6"/>
  <c r="G296" i="6" s="1"/>
  <c r="J296" i="6" s="1"/>
  <c r="D297" i="6"/>
  <c r="G297" i="6" s="1"/>
  <c r="J297" i="6" s="1"/>
  <c r="D298" i="6"/>
  <c r="G298" i="6" s="1"/>
  <c r="J298" i="6" s="1"/>
  <c r="D299" i="6"/>
  <c r="G299" i="6" s="1"/>
  <c r="J299" i="6" s="1"/>
  <c r="D300" i="6"/>
  <c r="G300" i="6"/>
  <c r="J300" i="6" s="1"/>
  <c r="D301" i="6"/>
  <c r="G301" i="6" s="1"/>
  <c r="J301" i="6" s="1"/>
  <c r="D302" i="6"/>
  <c r="G302" i="6" s="1"/>
  <c r="J302" i="6" s="1"/>
  <c r="D303" i="6"/>
  <c r="G303" i="6" s="1"/>
  <c r="J303" i="6" s="1"/>
  <c r="D304" i="6"/>
  <c r="G304" i="6" s="1"/>
  <c r="J304" i="6" s="1"/>
  <c r="D305" i="6"/>
  <c r="G305" i="6" s="1"/>
  <c r="J305" i="6" s="1"/>
  <c r="D306" i="6"/>
  <c r="G306" i="6"/>
  <c r="J306" i="6" s="1"/>
  <c r="D307" i="6"/>
  <c r="G307" i="6" s="1"/>
  <c r="J307" i="6" s="1"/>
  <c r="D308" i="6"/>
  <c r="G308" i="6" s="1"/>
  <c r="J308" i="6" s="1"/>
  <c r="D309" i="6"/>
  <c r="G309" i="6" s="1"/>
  <c r="J309" i="6" s="1"/>
  <c r="D310" i="6"/>
  <c r="G310" i="6"/>
  <c r="J310" i="6" s="1"/>
  <c r="D311" i="6"/>
  <c r="G311" i="6" s="1"/>
  <c r="J311" i="6" s="1"/>
  <c r="D312" i="6"/>
  <c r="G312" i="6" s="1"/>
  <c r="J312" i="6" s="1"/>
  <c r="D313" i="6"/>
  <c r="G313" i="6" s="1"/>
  <c r="J313" i="6" s="1"/>
  <c r="D314" i="6"/>
  <c r="G314" i="6" s="1"/>
  <c r="J314" i="6" s="1"/>
  <c r="D315" i="6"/>
  <c r="G315" i="6" s="1"/>
  <c r="J315" i="6" s="1"/>
  <c r="D316" i="6"/>
  <c r="G316" i="6" s="1"/>
  <c r="J316" i="6" s="1"/>
  <c r="D317" i="6"/>
  <c r="G317" i="6" s="1"/>
  <c r="J317" i="6" s="1"/>
  <c r="D318" i="6"/>
  <c r="G318" i="6"/>
  <c r="J318" i="6" s="1"/>
  <c r="B14" i="17"/>
  <c r="B15" i="17"/>
  <c r="B16" i="17"/>
  <c r="B17" i="17"/>
  <c r="B18" i="17"/>
  <c r="B19" i="17"/>
  <c r="B20" i="17"/>
  <c r="B21" i="17"/>
  <c r="B36" i="17"/>
  <c r="B37" i="17"/>
  <c r="B38" i="17"/>
  <c r="B39" i="17"/>
  <c r="B40" i="17"/>
  <c r="B41" i="17"/>
  <c r="B42" i="17"/>
  <c r="B43" i="17"/>
  <c r="N10" i="5"/>
  <c r="N11" i="5"/>
  <c r="N12" i="5"/>
  <c r="N13" i="5"/>
  <c r="N14" i="5"/>
  <c r="N15" i="5"/>
  <c r="N16" i="5"/>
  <c r="N17" i="5"/>
  <c r="N18" i="5"/>
  <c r="N19" i="5"/>
  <c r="N20" i="5"/>
  <c r="N21" i="5"/>
  <c r="E29" i="5"/>
  <c r="E30" i="5"/>
  <c r="E32" i="5"/>
  <c r="E33" i="5"/>
  <c r="E34" i="5"/>
  <c r="E35" i="5"/>
  <c r="E36" i="5"/>
  <c r="E37" i="5"/>
  <c r="D49" i="5"/>
  <c r="F49" i="5"/>
  <c r="D50" i="5"/>
  <c r="F50" i="5"/>
  <c r="D51" i="5"/>
  <c r="E96" i="5" s="1"/>
  <c r="F51" i="5"/>
  <c r="J51" i="5"/>
  <c r="D52" i="5"/>
  <c r="F52" i="5"/>
  <c r="J52" i="5"/>
  <c r="F53" i="5"/>
  <c r="J53" i="5"/>
  <c r="D54" i="5"/>
  <c r="F54" i="5"/>
  <c r="J54" i="5"/>
  <c r="F55" i="5"/>
  <c r="J55" i="5"/>
  <c r="D56" i="5"/>
  <c r="F56" i="5"/>
  <c r="D57" i="5"/>
  <c r="F57" i="5"/>
  <c r="D58" i="5"/>
  <c r="F58" i="5"/>
  <c r="D59" i="5"/>
  <c r="F59" i="5"/>
  <c r="D60" i="5"/>
  <c r="F60" i="5"/>
  <c r="F61" i="5"/>
  <c r="D62" i="5"/>
  <c r="F62" i="5"/>
  <c r="D63" i="5"/>
  <c r="F63" i="5"/>
  <c r="D64" i="5"/>
  <c r="F64" i="5"/>
  <c r="F65" i="5"/>
  <c r="B79" i="5"/>
  <c r="C79" i="5"/>
  <c r="D79" i="5"/>
  <c r="B96" i="5"/>
  <c r="C96" i="5"/>
  <c r="C86" i="5" s="1"/>
  <c r="D96" i="5"/>
  <c r="D88" i="5" s="1"/>
  <c r="F96" i="5"/>
  <c r="F82" i="5" s="1"/>
  <c r="G96" i="5"/>
  <c r="H96" i="5"/>
  <c r="H85" i="5" s="1"/>
  <c r="B97" i="5"/>
  <c r="C97" i="5"/>
  <c r="C98" i="5" s="1"/>
  <c r="D97" i="5"/>
  <c r="D98" i="5"/>
  <c r="D92" i="5" s="1"/>
  <c r="E97" i="5"/>
  <c r="E98" i="5" s="1"/>
  <c r="F97" i="5"/>
  <c r="F98" i="5" s="1"/>
  <c r="F90" i="5" s="1"/>
  <c r="G97" i="5"/>
  <c r="G98" i="5" s="1"/>
  <c r="H97" i="5"/>
  <c r="H98" i="5" s="1"/>
  <c r="B98" i="5"/>
  <c r="B88" i="5" s="1"/>
  <c r="L105" i="5"/>
  <c r="M105" i="5"/>
  <c r="O105" i="5"/>
  <c r="L106" i="5"/>
  <c r="M106" i="5" s="1"/>
  <c r="O107" i="5"/>
  <c r="L110" i="5"/>
  <c r="M110" i="5" s="1"/>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B26" i="15"/>
  <c r="C26" i="15"/>
  <c r="D26" i="15"/>
  <c r="E26" i="15"/>
  <c r="F26" i="15"/>
  <c r="G26" i="15"/>
  <c r="H26" i="15"/>
  <c r="I26" i="15"/>
  <c r="B27" i="15"/>
  <c r="C27" i="15"/>
  <c r="D27" i="15"/>
  <c r="E27" i="15"/>
  <c r="F27" i="15"/>
  <c r="G27" i="15"/>
  <c r="H27" i="15"/>
  <c r="I27" i="15"/>
  <c r="B28" i="15"/>
  <c r="C28" i="15"/>
  <c r="D28" i="15"/>
  <c r="E28" i="15"/>
  <c r="F28" i="15"/>
  <c r="G28" i="15"/>
  <c r="H28" i="15"/>
  <c r="I28" i="15"/>
  <c r="B29" i="15"/>
  <c r="C29" i="15"/>
  <c r="D29" i="15"/>
  <c r="E29" i="15"/>
  <c r="F29" i="15"/>
  <c r="G29" i="15"/>
  <c r="H29" i="15"/>
  <c r="I29" i="15"/>
  <c r="B30" i="15"/>
  <c r="C30" i="15"/>
  <c r="D30" i="15"/>
  <c r="E30" i="15"/>
  <c r="F30" i="15"/>
  <c r="G30" i="15"/>
  <c r="H30" i="15"/>
  <c r="I30" i="15"/>
  <c r="B31" i="15"/>
  <c r="C31" i="15"/>
  <c r="D31" i="15"/>
  <c r="E31" i="15"/>
  <c r="F31" i="15"/>
  <c r="G31" i="15"/>
  <c r="H31" i="15"/>
  <c r="I31" i="15"/>
  <c r="B32" i="15"/>
  <c r="C32" i="15"/>
  <c r="D32" i="15"/>
  <c r="E32" i="15"/>
  <c r="F32" i="15"/>
  <c r="G32" i="15"/>
  <c r="H32" i="15"/>
  <c r="I32" i="15"/>
  <c r="B33" i="15"/>
  <c r="C33" i="15"/>
  <c r="D33" i="15"/>
  <c r="E33" i="15"/>
  <c r="F33" i="15"/>
  <c r="G33" i="15"/>
  <c r="H33" i="15"/>
  <c r="I33" i="15"/>
  <c r="B34" i="15"/>
  <c r="C34" i="15"/>
  <c r="D34" i="15"/>
  <c r="E34" i="15"/>
  <c r="F34" i="15"/>
  <c r="G34" i="15"/>
  <c r="H34" i="15"/>
  <c r="I34" i="15"/>
  <c r="B35" i="15"/>
  <c r="C35" i="15"/>
  <c r="D35" i="15"/>
  <c r="E35" i="15"/>
  <c r="F35" i="15"/>
  <c r="G35" i="15"/>
  <c r="H35" i="15"/>
  <c r="I35" i="15"/>
  <c r="B36" i="15"/>
  <c r="C36" i="15"/>
  <c r="D36" i="15"/>
  <c r="E36" i="15"/>
  <c r="F36" i="15"/>
  <c r="G36" i="15"/>
  <c r="H36" i="15"/>
  <c r="I36" i="15"/>
  <c r="B37" i="15"/>
  <c r="C37" i="15"/>
  <c r="D37" i="15"/>
  <c r="E37" i="15"/>
  <c r="F37" i="15"/>
  <c r="G37" i="15"/>
  <c r="H37" i="15"/>
  <c r="I37" i="15"/>
  <c r="B38" i="15"/>
  <c r="C38" i="15"/>
  <c r="D38" i="15"/>
  <c r="E38" i="15"/>
  <c r="F38" i="15"/>
  <c r="G38" i="15"/>
  <c r="H38" i="15"/>
  <c r="I38" i="15"/>
  <c r="B39" i="15"/>
  <c r="C39" i="15"/>
  <c r="D39" i="15"/>
  <c r="E39" i="15"/>
  <c r="F39" i="15"/>
  <c r="G39" i="15"/>
  <c r="H39" i="15"/>
  <c r="I39" i="15"/>
  <c r="B40" i="15"/>
  <c r="C40" i="15"/>
  <c r="D40" i="15"/>
  <c r="E40" i="15"/>
  <c r="F40" i="15"/>
  <c r="G40" i="15"/>
  <c r="H40" i="15"/>
  <c r="I40" i="15"/>
  <c r="B41" i="15"/>
  <c r="C41" i="15"/>
  <c r="D41" i="15"/>
  <c r="E41" i="15"/>
  <c r="F41" i="15"/>
  <c r="G41" i="15"/>
  <c r="H41" i="15"/>
  <c r="I41" i="15"/>
  <c r="B42" i="15"/>
  <c r="C42" i="15"/>
  <c r="D42" i="15"/>
  <c r="E42" i="15"/>
  <c r="F42" i="15"/>
  <c r="G42" i="15"/>
  <c r="H42" i="15"/>
  <c r="I42" i="15"/>
  <c r="B43" i="15"/>
  <c r="C43" i="15"/>
  <c r="D43" i="15"/>
  <c r="E43" i="15"/>
  <c r="F43" i="15"/>
  <c r="G43" i="15"/>
  <c r="H43" i="15"/>
  <c r="I43" i="15"/>
  <c r="B44" i="15"/>
  <c r="C44" i="15"/>
  <c r="D44" i="15"/>
  <c r="E44" i="15"/>
  <c r="F44" i="15"/>
  <c r="G44" i="15"/>
  <c r="H44" i="15"/>
  <c r="I44" i="15"/>
  <c r="B45" i="15"/>
  <c r="C45" i="15"/>
  <c r="D45" i="15"/>
  <c r="E45" i="15"/>
  <c r="F45" i="15"/>
  <c r="G45" i="15"/>
  <c r="H45" i="15"/>
  <c r="I45" i="15"/>
  <c r="B46" i="15"/>
  <c r="C46" i="15"/>
  <c r="D46" i="15"/>
  <c r="E46" i="15"/>
  <c r="F46" i="15"/>
  <c r="G46" i="15"/>
  <c r="H46" i="15"/>
  <c r="I46" i="15"/>
  <c r="B47" i="15"/>
  <c r="C47" i="15"/>
  <c r="D47" i="15"/>
  <c r="E47" i="15"/>
  <c r="F47" i="15"/>
  <c r="G47" i="15"/>
  <c r="H47" i="15"/>
  <c r="I47" i="15"/>
  <c r="B48" i="15"/>
  <c r="C48" i="15"/>
  <c r="D48" i="15"/>
  <c r="E48" i="15"/>
  <c r="F48" i="15"/>
  <c r="G48" i="15"/>
  <c r="H48" i="15"/>
  <c r="I48" i="15"/>
  <c r="B49" i="15"/>
  <c r="C49" i="15"/>
  <c r="D49" i="15"/>
  <c r="E49" i="15"/>
  <c r="F49" i="15"/>
  <c r="G49" i="15"/>
  <c r="H49" i="15"/>
  <c r="I49" i="15"/>
  <c r="B50" i="15"/>
  <c r="C50" i="15"/>
  <c r="D50" i="15"/>
  <c r="E50" i="15"/>
  <c r="F50" i="15"/>
  <c r="G50" i="15"/>
  <c r="H50" i="15"/>
  <c r="I50" i="15"/>
  <c r="B51" i="15"/>
  <c r="C51" i="15"/>
  <c r="D51" i="15"/>
  <c r="E51" i="15"/>
  <c r="F51" i="15"/>
  <c r="G51" i="15"/>
  <c r="H51" i="15"/>
  <c r="I51" i="15"/>
  <c r="D64" i="15"/>
  <c r="E64" i="15"/>
  <c r="F64" i="15"/>
  <c r="D65" i="15"/>
  <c r="E65" i="15"/>
  <c r="F65" i="15"/>
  <c r="D66" i="15"/>
  <c r="E66" i="15"/>
  <c r="F66" i="15"/>
  <c r="D67" i="15"/>
  <c r="G67" i="15" s="1"/>
  <c r="J67" i="15" s="1"/>
  <c r="E67" i="15"/>
  <c r="F67" i="15"/>
  <c r="D68" i="15"/>
  <c r="E68" i="15"/>
  <c r="G68" i="15" s="1"/>
  <c r="J68" i="15" s="1"/>
  <c r="F68" i="15"/>
  <c r="D69" i="15"/>
  <c r="E69" i="15"/>
  <c r="F69" i="15"/>
  <c r="D70" i="15"/>
  <c r="E70" i="15"/>
  <c r="F70" i="15"/>
  <c r="D71" i="15"/>
  <c r="E71" i="15"/>
  <c r="F71" i="15"/>
  <c r="D72" i="15"/>
  <c r="E72" i="15"/>
  <c r="G72" i="15" s="1"/>
  <c r="J72" i="15" s="1"/>
  <c r="F72" i="15"/>
  <c r="D73" i="15"/>
  <c r="E73" i="15"/>
  <c r="F73" i="15"/>
  <c r="G73" i="15" s="1"/>
  <c r="J73" i="15" s="1"/>
  <c r="D74" i="15"/>
  <c r="E74" i="15"/>
  <c r="F74" i="15"/>
  <c r="D75" i="15"/>
  <c r="G75" i="15" s="1"/>
  <c r="J75" i="15" s="1"/>
  <c r="E75" i="15"/>
  <c r="F75" i="15"/>
  <c r="D76" i="15"/>
  <c r="E76" i="15"/>
  <c r="G76" i="15" s="1"/>
  <c r="J76" i="15" s="1"/>
  <c r="F76" i="15"/>
  <c r="D77" i="15"/>
  <c r="E77" i="15"/>
  <c r="F77" i="15"/>
  <c r="D78" i="15"/>
  <c r="E78" i="15"/>
  <c r="F78" i="15"/>
  <c r="D79" i="15"/>
  <c r="G79" i="15" s="1"/>
  <c r="J79" i="15" s="1"/>
  <c r="E79" i="15"/>
  <c r="F79" i="15"/>
  <c r="D80" i="15"/>
  <c r="E80" i="15"/>
  <c r="F80" i="15"/>
  <c r="D81" i="15"/>
  <c r="E81" i="15"/>
  <c r="F81" i="15"/>
  <c r="D82" i="15"/>
  <c r="E82" i="15"/>
  <c r="G82" i="15" s="1"/>
  <c r="J82" i="15" s="1"/>
  <c r="F82" i="15"/>
  <c r="D83" i="15"/>
  <c r="E83" i="15"/>
  <c r="F83" i="15"/>
  <c r="D84" i="15"/>
  <c r="E84" i="15"/>
  <c r="F84" i="15"/>
  <c r="D85" i="15"/>
  <c r="E85" i="15"/>
  <c r="F85" i="15"/>
  <c r="D86" i="15"/>
  <c r="E86" i="15"/>
  <c r="G86" i="15" s="1"/>
  <c r="J86" i="15" s="1"/>
  <c r="F86" i="15"/>
  <c r="D87" i="15"/>
  <c r="E87" i="15"/>
  <c r="F87" i="15"/>
  <c r="D88" i="15"/>
  <c r="E88" i="15"/>
  <c r="F88" i="15"/>
  <c r="D89" i="15"/>
  <c r="E89" i="15"/>
  <c r="F89" i="15"/>
  <c r="D90" i="15"/>
  <c r="E90" i="15"/>
  <c r="G90" i="15" s="1"/>
  <c r="J90" i="15" s="1"/>
  <c r="F90" i="15"/>
  <c r="D91" i="15"/>
  <c r="E91" i="15"/>
  <c r="F91" i="15"/>
  <c r="D92" i="15"/>
  <c r="E92" i="15"/>
  <c r="F92" i="15"/>
  <c r="D93" i="15"/>
  <c r="E93" i="15"/>
  <c r="F93" i="15"/>
  <c r="D94" i="15"/>
  <c r="E94" i="15"/>
  <c r="F94" i="15"/>
  <c r="D95" i="15"/>
  <c r="E95" i="15"/>
  <c r="F95" i="15"/>
  <c r="D96" i="15"/>
  <c r="E96" i="15"/>
  <c r="F96" i="15"/>
  <c r="D97" i="15"/>
  <c r="E97" i="15"/>
  <c r="F97" i="15"/>
  <c r="D98" i="15"/>
  <c r="E98" i="15"/>
  <c r="F98" i="15"/>
  <c r="D99" i="15"/>
  <c r="G99" i="15" s="1"/>
  <c r="J99" i="15" s="1"/>
  <c r="E99" i="15"/>
  <c r="F99" i="15"/>
  <c r="D100" i="15"/>
  <c r="E100" i="15"/>
  <c r="F100" i="15"/>
  <c r="D101" i="15"/>
  <c r="E101" i="15"/>
  <c r="F101" i="15"/>
  <c r="D102" i="15"/>
  <c r="E102" i="15"/>
  <c r="F102" i="15"/>
  <c r="D103" i="15"/>
  <c r="E103" i="15"/>
  <c r="F103" i="15"/>
  <c r="D104" i="15"/>
  <c r="E104" i="15"/>
  <c r="F104" i="15"/>
  <c r="D105" i="15"/>
  <c r="E105" i="15"/>
  <c r="F105" i="15"/>
  <c r="D106" i="15"/>
  <c r="E106" i="15"/>
  <c r="F106" i="15"/>
  <c r="D107" i="15"/>
  <c r="G107" i="15" s="1"/>
  <c r="J107" i="15" s="1"/>
  <c r="E107" i="15"/>
  <c r="F107" i="15"/>
  <c r="D108" i="15"/>
  <c r="E108" i="15"/>
  <c r="F108" i="15"/>
  <c r="D109" i="15"/>
  <c r="E109" i="15"/>
  <c r="F109" i="15"/>
  <c r="D110" i="15"/>
  <c r="E110" i="15"/>
  <c r="F110" i="15"/>
  <c r="D111" i="15"/>
  <c r="G111" i="15" s="1"/>
  <c r="J111" i="15" s="1"/>
  <c r="E111" i="15"/>
  <c r="F111" i="15"/>
  <c r="D112" i="15"/>
  <c r="G112" i="15" s="1"/>
  <c r="J112" i="15" s="1"/>
  <c r="E112" i="15"/>
  <c r="F112" i="15"/>
  <c r="D113" i="15"/>
  <c r="G113" i="15" s="1"/>
  <c r="J113" i="15" s="1"/>
  <c r="E113" i="15"/>
  <c r="F113" i="15"/>
  <c r="D114" i="15"/>
  <c r="E114" i="15"/>
  <c r="F114" i="15"/>
  <c r="D115" i="15"/>
  <c r="E115" i="15"/>
  <c r="F115" i="15"/>
  <c r="D116" i="15"/>
  <c r="E116" i="15"/>
  <c r="F116" i="15"/>
  <c r="D117" i="15"/>
  <c r="G117" i="15" s="1"/>
  <c r="J117" i="15" s="1"/>
  <c r="E117" i="15"/>
  <c r="F117" i="15"/>
  <c r="D118" i="15"/>
  <c r="E118" i="15"/>
  <c r="F118" i="15"/>
  <c r="D119" i="15"/>
  <c r="E119" i="15"/>
  <c r="F119" i="15"/>
  <c r="D120" i="15"/>
  <c r="E120" i="15"/>
  <c r="F120" i="15"/>
  <c r="D121" i="15"/>
  <c r="E121" i="15"/>
  <c r="F121" i="15"/>
  <c r="D122" i="15"/>
  <c r="E122" i="15"/>
  <c r="F122" i="15"/>
  <c r="D123" i="15"/>
  <c r="E123" i="15"/>
  <c r="F123" i="15"/>
  <c r="D124" i="15"/>
  <c r="E124" i="15"/>
  <c r="F124" i="15"/>
  <c r="D125" i="15"/>
  <c r="E125" i="15"/>
  <c r="F125" i="15"/>
  <c r="D126" i="15"/>
  <c r="E126" i="15"/>
  <c r="F126" i="15"/>
  <c r="D127" i="15"/>
  <c r="E127" i="15"/>
  <c r="F127" i="15"/>
  <c r="D128" i="15"/>
  <c r="E128" i="15"/>
  <c r="F128" i="15"/>
  <c r="D129" i="15"/>
  <c r="E129" i="15"/>
  <c r="F129" i="15"/>
  <c r="D130" i="15"/>
  <c r="E130" i="15"/>
  <c r="F130" i="15"/>
  <c r="D131" i="15"/>
  <c r="E131" i="15"/>
  <c r="F131" i="15"/>
  <c r="D132" i="15"/>
  <c r="E132" i="15"/>
  <c r="G132" i="15" s="1"/>
  <c r="J132" i="15" s="1"/>
  <c r="F132" i="15"/>
  <c r="D133" i="15"/>
  <c r="E133" i="15"/>
  <c r="F133" i="15"/>
  <c r="D134" i="15"/>
  <c r="E134" i="15"/>
  <c r="F134" i="15"/>
  <c r="D135" i="15"/>
  <c r="E135" i="15"/>
  <c r="F135" i="15"/>
  <c r="D136" i="15"/>
  <c r="E136" i="15"/>
  <c r="G136" i="15" s="1"/>
  <c r="J136" i="15" s="1"/>
  <c r="F136" i="15"/>
  <c r="D137" i="15"/>
  <c r="E137" i="15"/>
  <c r="F137" i="15"/>
  <c r="D138" i="15"/>
  <c r="E138" i="15"/>
  <c r="F138" i="15"/>
  <c r="D139" i="15"/>
  <c r="E139" i="15"/>
  <c r="F139" i="15"/>
  <c r="D140" i="15"/>
  <c r="E140" i="15"/>
  <c r="G140" i="15" s="1"/>
  <c r="J140" i="15" s="1"/>
  <c r="F140" i="15"/>
  <c r="D141" i="15"/>
  <c r="E141" i="15"/>
  <c r="F141" i="15"/>
  <c r="D142" i="15"/>
  <c r="E142" i="15"/>
  <c r="F142" i="15"/>
  <c r="D143" i="15"/>
  <c r="E143" i="15"/>
  <c r="F143" i="15"/>
  <c r="K21" i="4"/>
  <c r="L21" i="4"/>
  <c r="M21" i="4"/>
  <c r="K22" i="4"/>
  <c r="L22" i="4"/>
  <c r="M22" i="4"/>
  <c r="K23" i="4"/>
  <c r="L23" i="4"/>
  <c r="M23" i="4"/>
  <c r="B30" i="4"/>
  <c r="C30" i="4"/>
  <c r="B31" i="4"/>
  <c r="C31" i="4"/>
  <c r="B32" i="4"/>
  <c r="C32" i="4"/>
  <c r="B33" i="4"/>
  <c r="C33" i="4"/>
  <c r="B34" i="4"/>
  <c r="C34" i="4"/>
  <c r="B35" i="4"/>
  <c r="C35" i="4"/>
  <c r="B36" i="4"/>
  <c r="C36" i="4"/>
  <c r="B37" i="4"/>
  <c r="C37" i="4"/>
  <c r="B38" i="4"/>
  <c r="C38" i="4"/>
  <c r="B39" i="4"/>
  <c r="C39" i="4"/>
  <c r="B40" i="4"/>
  <c r="C40" i="4"/>
  <c r="B43" i="4"/>
  <c r="C43" i="4"/>
  <c r="D43" i="4"/>
  <c r="D40" i="4" s="1"/>
  <c r="E43" i="4"/>
  <c r="F43" i="4"/>
  <c r="B44" i="4"/>
  <c r="C44" i="4"/>
  <c r="D44" i="4"/>
  <c r="E44" i="4"/>
  <c r="E30" i="4" s="1"/>
  <c r="F44" i="4"/>
  <c r="F52" i="4"/>
  <c r="K52" i="4" s="1"/>
  <c r="F53" i="4"/>
  <c r="K53" i="4" s="1"/>
  <c r="F54" i="4"/>
  <c r="K54" i="4" s="1"/>
  <c r="F55" i="4"/>
  <c r="K55" i="4" s="1"/>
  <c r="F56" i="4"/>
  <c r="K56" i="4" s="1"/>
  <c r="F57" i="4"/>
  <c r="K57" i="4" s="1"/>
  <c r="F58" i="4"/>
  <c r="K58" i="4" s="1"/>
  <c r="F59" i="4"/>
  <c r="K59" i="4" s="1"/>
  <c r="F60" i="4"/>
  <c r="K60" i="4" s="1"/>
  <c r="B35" i="3"/>
  <c r="C35" i="3"/>
  <c r="D35" i="3"/>
  <c r="E35" i="3"/>
  <c r="B36" i="3"/>
  <c r="C36" i="3"/>
  <c r="D36" i="3"/>
  <c r="E36" i="3"/>
  <c r="B37" i="3"/>
  <c r="C37" i="3"/>
  <c r="D37" i="3"/>
  <c r="E37" i="3"/>
  <c r="B38" i="3"/>
  <c r="C38" i="3"/>
  <c r="D38" i="3"/>
  <c r="E38" i="3"/>
  <c r="B39" i="3"/>
  <c r="C39" i="3"/>
  <c r="D39" i="3"/>
  <c r="E39" i="3"/>
  <c r="B40" i="3"/>
  <c r="C40" i="3"/>
  <c r="D40" i="3"/>
  <c r="E40" i="3"/>
  <c r="B41" i="3"/>
  <c r="C41" i="3"/>
  <c r="D41" i="3"/>
  <c r="E41" i="3"/>
  <c r="B42" i="3"/>
  <c r="C42" i="3"/>
  <c r="D42" i="3"/>
  <c r="E42" i="3"/>
  <c r="B43" i="3"/>
  <c r="C43" i="3"/>
  <c r="D43" i="3"/>
  <c r="E43" i="3"/>
  <c r="F55" i="3"/>
  <c r="I55" i="3" s="1"/>
  <c r="F56" i="3"/>
  <c r="I56" i="3" s="1"/>
  <c r="F57" i="3"/>
  <c r="I57" i="3" s="1"/>
  <c r="F58" i="3"/>
  <c r="I58" i="3" s="1"/>
  <c r="F59" i="3"/>
  <c r="I59" i="3" s="1"/>
  <c r="F60" i="3"/>
  <c r="I60" i="3" s="1"/>
  <c r="F61" i="3"/>
  <c r="I61" i="3" s="1"/>
  <c r="F62" i="3"/>
  <c r="I62" i="3" s="1"/>
  <c r="F63" i="3"/>
  <c r="I63" i="3" s="1"/>
  <c r="F64" i="3"/>
  <c r="I64" i="3" s="1"/>
  <c r="F65" i="3"/>
  <c r="I65" i="3" s="1"/>
  <c r="F66" i="3"/>
  <c r="I66" i="3" s="1"/>
  <c r="F67" i="3"/>
  <c r="I67" i="3" s="1"/>
  <c r="F68" i="3"/>
  <c r="I68" i="3" s="1"/>
  <c r="F69" i="3"/>
  <c r="I69" i="3" s="1"/>
  <c r="F70" i="3"/>
  <c r="I70" i="3" s="1"/>
  <c r="F71" i="3"/>
  <c r="I71" i="3" s="1"/>
  <c r="F72" i="3"/>
  <c r="I72" i="3" s="1"/>
  <c r="F73" i="3"/>
  <c r="I73" i="3" s="1"/>
  <c r="F74" i="3"/>
  <c r="I74" i="3" s="1"/>
  <c r="F75" i="3"/>
  <c r="I75" i="3" s="1"/>
  <c r="F76" i="3"/>
  <c r="I76" i="3" s="1"/>
  <c r="F77" i="3"/>
  <c r="I77" i="3" s="1"/>
  <c r="F78" i="3"/>
  <c r="I78" i="3" s="1"/>
  <c r="F79" i="3"/>
  <c r="I79" i="3" s="1"/>
  <c r="F16" i="2"/>
  <c r="F17" i="2"/>
  <c r="F18" i="2"/>
  <c r="J16" i="2" s="1"/>
  <c r="F19" i="2"/>
  <c r="F20" i="2"/>
  <c r="B25" i="2"/>
  <c r="C25" i="2"/>
  <c r="D25" i="2"/>
  <c r="E25" i="2"/>
  <c r="B26" i="2"/>
  <c r="C26" i="2"/>
  <c r="D26" i="2"/>
  <c r="E26" i="2"/>
  <c r="B27" i="2"/>
  <c r="C27" i="2"/>
  <c r="D27" i="2"/>
  <c r="E27" i="2"/>
  <c r="B28" i="2"/>
  <c r="C28" i="2"/>
  <c r="D28" i="2"/>
  <c r="E28" i="2"/>
  <c r="B29" i="2"/>
  <c r="C29" i="2"/>
  <c r="D29" i="2"/>
  <c r="E29" i="2"/>
  <c r="B30" i="2"/>
  <c r="C30" i="2"/>
  <c r="D30" i="2"/>
  <c r="E30" i="2"/>
  <c r="B31" i="2"/>
  <c r="C31" i="2"/>
  <c r="D31" i="2"/>
  <c r="E31" i="2"/>
  <c r="B32" i="2"/>
  <c r="C32" i="2"/>
  <c r="D32" i="2"/>
  <c r="E32" i="2"/>
  <c r="B33" i="2"/>
  <c r="C33" i="2"/>
  <c r="D33" i="2"/>
  <c r="E33" i="2"/>
  <c r="B34" i="2"/>
  <c r="C34" i="2"/>
  <c r="D34" i="2"/>
  <c r="E34" i="2"/>
  <c r="B35" i="2"/>
  <c r="C35" i="2"/>
  <c r="D35" i="2"/>
  <c r="E35" i="2"/>
  <c r="J45" i="2"/>
  <c r="M45" i="2" s="1"/>
  <c r="N45" i="2" s="1"/>
  <c r="J46" i="2"/>
  <c r="M46" i="2" s="1"/>
  <c r="N46" i="2" s="1"/>
  <c r="J47" i="2"/>
  <c r="M47" i="2" s="1"/>
  <c r="N47" i="2" s="1"/>
  <c r="J48" i="2"/>
  <c r="M48" i="2" s="1"/>
  <c r="N48" i="2" s="1"/>
  <c r="J49" i="2"/>
  <c r="M49" i="2" s="1"/>
  <c r="N49" i="2" s="1"/>
  <c r="J50" i="2"/>
  <c r="M50" i="2" s="1"/>
  <c r="N50" i="2" s="1"/>
  <c r="J51" i="2"/>
  <c r="M51" i="2" s="1"/>
  <c r="N51" i="2" s="1"/>
  <c r="J52" i="2"/>
  <c r="M52" i="2" s="1"/>
  <c r="N52" i="2" s="1"/>
  <c r="J53" i="2"/>
  <c r="M53" i="2" s="1"/>
  <c r="N53" i="2" s="1"/>
  <c r="J54" i="2"/>
  <c r="M54" i="2" s="1"/>
  <c r="N54" i="2" s="1"/>
  <c r="J55" i="2"/>
  <c r="M55" i="2" s="1"/>
  <c r="N55" i="2" s="1"/>
  <c r="J56" i="2"/>
  <c r="M56" i="2" s="1"/>
  <c r="N56" i="2" s="1"/>
  <c r="J57" i="2"/>
  <c r="M57" i="2" s="1"/>
  <c r="N57" i="2" s="1"/>
  <c r="J58" i="2"/>
  <c r="M58" i="2" s="1"/>
  <c r="N58" i="2" s="1"/>
  <c r="J59" i="2"/>
  <c r="M59" i="2" s="1"/>
  <c r="N59" i="2" s="1"/>
  <c r="J60" i="2"/>
  <c r="M60" i="2" s="1"/>
  <c r="N60" i="2" s="1"/>
  <c r="J61" i="2"/>
  <c r="M61" i="2" s="1"/>
  <c r="N61" i="2" s="1"/>
  <c r="J62" i="2"/>
  <c r="M62" i="2" s="1"/>
  <c r="N62" i="2" s="1"/>
  <c r="J63" i="2"/>
  <c r="M63" i="2" s="1"/>
  <c r="N63" i="2" s="1"/>
  <c r="J64" i="2"/>
  <c r="M64" i="2" s="1"/>
  <c r="N64" i="2" s="1"/>
  <c r="J65" i="2"/>
  <c r="M65" i="2" s="1"/>
  <c r="N65" i="2" s="1"/>
  <c r="J66" i="2"/>
  <c r="M66" i="2" s="1"/>
  <c r="N66" i="2" s="1"/>
  <c r="J67" i="2"/>
  <c r="M67" i="2" s="1"/>
  <c r="N67" i="2" s="1"/>
  <c r="J68" i="2"/>
  <c r="M68" i="2" s="1"/>
  <c r="N68" i="2" s="1"/>
  <c r="J69" i="2"/>
  <c r="M69" i="2" s="1"/>
  <c r="N69" i="2" s="1"/>
  <c r="J70" i="2"/>
  <c r="M70" i="2" s="1"/>
  <c r="N70" i="2" s="1"/>
  <c r="J71" i="2"/>
  <c r="M71" i="2" s="1"/>
  <c r="N71" i="2" s="1"/>
  <c r="J72" i="2"/>
  <c r="M72" i="2" s="1"/>
  <c r="N72" i="2" s="1"/>
  <c r="J73" i="2"/>
  <c r="M73" i="2" s="1"/>
  <c r="N73" i="2" s="1"/>
  <c r="J74" i="2"/>
  <c r="M74" i="2" s="1"/>
  <c r="N74" i="2" s="1"/>
  <c r="J75" i="2"/>
  <c r="M75" i="2" s="1"/>
  <c r="N75" i="2" s="1"/>
  <c r="J76" i="2"/>
  <c r="M76" i="2" s="1"/>
  <c r="N76" i="2" s="1"/>
  <c r="J77" i="2"/>
  <c r="M77" i="2" s="1"/>
  <c r="N77" i="2" s="1"/>
  <c r="J78" i="2"/>
  <c r="M78" i="2" s="1"/>
  <c r="N78" i="2" s="1"/>
  <c r="J79" i="2"/>
  <c r="M79" i="2" s="1"/>
  <c r="N79" i="2" s="1"/>
  <c r="J80" i="2"/>
  <c r="M80" i="2" s="1"/>
  <c r="N80" i="2" s="1"/>
  <c r="J81" i="2"/>
  <c r="M81" i="2" s="1"/>
  <c r="N81" i="2" s="1"/>
  <c r="J82" i="2"/>
  <c r="M82" i="2" s="1"/>
  <c r="N82" i="2" s="1"/>
  <c r="J83" i="2"/>
  <c r="M83" i="2" s="1"/>
  <c r="N83" i="2" s="1"/>
  <c r="J84" i="2"/>
  <c r="M84" i="2" s="1"/>
  <c r="N84" i="2" s="1"/>
  <c r="DU10" i="23"/>
  <c r="DV10" i="23"/>
  <c r="DW10" i="23"/>
  <c r="DX10" i="23"/>
  <c r="DY10" i="23"/>
  <c r="EB10" i="23"/>
  <c r="EC10" i="23"/>
  <c r="ED10" i="23"/>
  <c r="EE10" i="23"/>
  <c r="EF10" i="23"/>
  <c r="BA11" i="23"/>
  <c r="CS11" i="23"/>
  <c r="E5" i="24"/>
  <c r="G5" i="24"/>
  <c r="K5" i="24"/>
  <c r="M5" i="24"/>
  <c r="N5" i="24"/>
  <c r="E6" i="24"/>
  <c r="G6" i="24"/>
  <c r="K6" i="24"/>
  <c r="M6" i="24"/>
  <c r="N6" i="24"/>
  <c r="E7" i="24"/>
  <c r="G7" i="24"/>
  <c r="K7" i="24"/>
  <c r="M7" i="24"/>
  <c r="N7" i="24"/>
  <c r="E8" i="24"/>
  <c r="G8" i="24"/>
  <c r="K8" i="24"/>
  <c r="M8" i="24"/>
  <c r="N8" i="24"/>
  <c r="E9" i="24"/>
  <c r="G9" i="24"/>
  <c r="K9" i="24"/>
  <c r="M9" i="24"/>
  <c r="N9" i="24"/>
  <c r="E10" i="24"/>
  <c r="G10" i="24"/>
  <c r="K10" i="24"/>
  <c r="M10" i="24"/>
  <c r="N10" i="24"/>
  <c r="E11" i="24"/>
  <c r="G11" i="24"/>
  <c r="K11" i="24"/>
  <c r="M11" i="24"/>
  <c r="N11" i="24"/>
  <c r="E12" i="24"/>
  <c r="G12" i="24"/>
  <c r="K12" i="24"/>
  <c r="M12" i="24"/>
  <c r="N12" i="24"/>
  <c r="E13" i="24"/>
  <c r="G13" i="24"/>
  <c r="K13" i="24"/>
  <c r="M13" i="24"/>
  <c r="N13" i="24"/>
  <c r="E14" i="24"/>
  <c r="G14" i="24"/>
  <c r="E15" i="24"/>
  <c r="G15" i="24"/>
  <c r="K15" i="24"/>
  <c r="M15" i="24"/>
  <c r="N15" i="24"/>
  <c r="E16" i="24"/>
  <c r="G16" i="24"/>
  <c r="K16" i="24"/>
  <c r="M16" i="24"/>
  <c r="N16" i="24"/>
  <c r="E17" i="24"/>
  <c r="G17" i="24"/>
  <c r="K17" i="24"/>
  <c r="M17" i="24"/>
  <c r="N17" i="24"/>
  <c r="E18" i="24"/>
  <c r="G18" i="24"/>
  <c r="K18" i="24"/>
  <c r="M18" i="24"/>
  <c r="N18" i="24"/>
  <c r="E19" i="24"/>
  <c r="G19" i="24"/>
  <c r="K19" i="24"/>
  <c r="M19" i="24"/>
  <c r="N19" i="24"/>
  <c r="E20" i="24"/>
  <c r="G20" i="24"/>
  <c r="K20" i="24"/>
  <c r="M20" i="24"/>
  <c r="N20" i="24"/>
  <c r="E21" i="24"/>
  <c r="G21" i="24"/>
  <c r="E22" i="24"/>
  <c r="G22" i="24"/>
  <c r="K22" i="24"/>
  <c r="M22" i="24"/>
  <c r="N22" i="24"/>
  <c r="E23" i="24"/>
  <c r="G23" i="24"/>
  <c r="K23" i="24"/>
  <c r="M23" i="24"/>
  <c r="N23" i="24"/>
  <c r="E24" i="24"/>
  <c r="G24" i="24"/>
  <c r="K24" i="24"/>
  <c r="M24" i="24"/>
  <c r="N24" i="24"/>
  <c r="E25" i="24"/>
  <c r="G25" i="24"/>
  <c r="K25" i="24"/>
  <c r="M25" i="24"/>
  <c r="N25" i="24"/>
  <c r="E26" i="24"/>
  <c r="G26" i="24"/>
  <c r="K26" i="24"/>
  <c r="M26" i="24"/>
  <c r="N26" i="24"/>
  <c r="E27" i="24"/>
  <c r="G27" i="24"/>
  <c r="K27" i="24"/>
  <c r="M27" i="24"/>
  <c r="N27" i="24"/>
  <c r="E28" i="24"/>
  <c r="G28" i="24"/>
  <c r="E29" i="24"/>
  <c r="G29" i="24"/>
  <c r="K29" i="24"/>
  <c r="M29" i="24"/>
  <c r="N29" i="24"/>
  <c r="E30" i="24"/>
  <c r="G30" i="24"/>
  <c r="K30" i="24"/>
  <c r="M30" i="24"/>
  <c r="N30" i="24"/>
  <c r="E31" i="24"/>
  <c r="G31" i="24"/>
  <c r="K31" i="24"/>
  <c r="M31" i="24"/>
  <c r="N31" i="24"/>
  <c r="E32" i="24"/>
  <c r="G32" i="24"/>
  <c r="K32" i="24"/>
  <c r="M32" i="24"/>
  <c r="N32" i="24"/>
  <c r="E33" i="24"/>
  <c r="G33" i="24"/>
  <c r="K33" i="24"/>
  <c r="M33" i="24"/>
  <c r="N33" i="24"/>
  <c r="E34" i="24"/>
  <c r="G34" i="24"/>
  <c r="K34" i="24"/>
  <c r="M34" i="24"/>
  <c r="N34" i="24"/>
  <c r="E35" i="24"/>
  <c r="G35" i="24"/>
  <c r="K35" i="24"/>
  <c r="E36" i="24"/>
  <c r="G36" i="24"/>
  <c r="K36" i="24"/>
  <c r="M36" i="24"/>
  <c r="N36" i="24"/>
  <c r="E37" i="24"/>
  <c r="G37" i="24"/>
  <c r="K37" i="24"/>
  <c r="M37" i="24"/>
  <c r="N37" i="24"/>
  <c r="E38" i="24"/>
  <c r="G38" i="24"/>
  <c r="K38" i="24"/>
  <c r="M38" i="24"/>
  <c r="N38" i="24"/>
  <c r="E39" i="24"/>
  <c r="G39" i="24"/>
  <c r="K39" i="24"/>
  <c r="M39" i="24"/>
  <c r="N39" i="24"/>
  <c r="E40" i="24"/>
  <c r="G40" i="24"/>
  <c r="K40" i="24"/>
  <c r="M40" i="24"/>
  <c r="N40" i="24"/>
  <c r="E41" i="24"/>
  <c r="G41" i="24"/>
  <c r="K41" i="24"/>
  <c r="M41" i="24"/>
  <c r="N41" i="24"/>
  <c r="E42" i="24"/>
  <c r="G42" i="24"/>
  <c r="E43" i="24"/>
  <c r="G43" i="24"/>
  <c r="K43" i="24"/>
  <c r="M43" i="24"/>
  <c r="N43" i="24"/>
  <c r="E44" i="24"/>
  <c r="G44" i="24"/>
  <c r="K44" i="24"/>
  <c r="M44" i="24"/>
  <c r="N44" i="24"/>
  <c r="E45" i="24"/>
  <c r="G45" i="24"/>
  <c r="E46" i="24"/>
  <c r="G46" i="24"/>
  <c r="K46" i="24"/>
  <c r="M46" i="24"/>
  <c r="N46" i="24"/>
  <c r="E47" i="24"/>
  <c r="G47" i="24"/>
  <c r="K47" i="24"/>
  <c r="M47" i="24"/>
  <c r="N47" i="24"/>
  <c r="E48" i="24"/>
  <c r="G48" i="24"/>
  <c r="E49" i="24"/>
  <c r="G49" i="24"/>
  <c r="K49" i="24"/>
  <c r="M49" i="24"/>
  <c r="N49" i="24"/>
  <c r="E50" i="24"/>
  <c r="G50" i="24"/>
  <c r="K50" i="24"/>
  <c r="M50" i="24"/>
  <c r="N50" i="24"/>
  <c r="E51" i="24"/>
  <c r="G51" i="24"/>
  <c r="K51" i="24"/>
  <c r="M51" i="24"/>
  <c r="N51" i="24"/>
  <c r="E52" i="24"/>
  <c r="G52" i="24"/>
  <c r="K52" i="24"/>
  <c r="M52" i="24"/>
  <c r="N52" i="24"/>
  <c r="E53" i="24"/>
  <c r="G53" i="24"/>
  <c r="K53" i="24"/>
  <c r="M53" i="24"/>
  <c r="N53" i="24"/>
  <c r="E54" i="24"/>
  <c r="G54" i="24"/>
  <c r="K54" i="24"/>
  <c r="M54" i="24"/>
  <c r="N54" i="24"/>
  <c r="E55" i="24"/>
  <c r="G55" i="24"/>
  <c r="K55" i="24"/>
  <c r="M55" i="24"/>
  <c r="N55" i="24"/>
  <c r="E56" i="24"/>
  <c r="G56" i="24"/>
  <c r="K56" i="24"/>
  <c r="M56" i="24"/>
  <c r="N56" i="24"/>
  <c r="E57" i="24"/>
  <c r="G57" i="24"/>
  <c r="K57" i="24"/>
  <c r="M57" i="24"/>
  <c r="E58" i="24"/>
  <c r="G58" i="24"/>
  <c r="K58" i="24"/>
  <c r="M58" i="24"/>
  <c r="N58" i="24"/>
  <c r="E59" i="24"/>
  <c r="G59" i="24"/>
  <c r="K59" i="24"/>
  <c r="M59" i="24"/>
  <c r="N59" i="24"/>
  <c r="E60" i="24"/>
  <c r="G60" i="24"/>
  <c r="K60" i="24"/>
  <c r="M60" i="24"/>
  <c r="N60" i="24"/>
  <c r="E61" i="24"/>
  <c r="G61" i="24"/>
  <c r="K61" i="24"/>
  <c r="M61" i="24"/>
  <c r="N61" i="24"/>
  <c r="E62" i="24"/>
  <c r="G62" i="24"/>
  <c r="E63" i="24"/>
  <c r="G63" i="24"/>
  <c r="K63" i="24"/>
  <c r="M63" i="24"/>
  <c r="N63" i="24"/>
  <c r="E64" i="24"/>
  <c r="G64" i="24"/>
  <c r="K64" i="24"/>
  <c r="M64" i="24"/>
  <c r="N64" i="24"/>
  <c r="E65" i="24"/>
  <c r="G65" i="24"/>
  <c r="K65" i="24"/>
  <c r="M65" i="24"/>
  <c r="N65" i="24"/>
  <c r="E66" i="24"/>
  <c r="G66" i="24"/>
  <c r="K66" i="24"/>
  <c r="M66" i="24"/>
  <c r="N66" i="24"/>
  <c r="E67" i="24"/>
  <c r="G67" i="24"/>
  <c r="K67" i="24"/>
  <c r="M67" i="24"/>
  <c r="N67" i="24"/>
  <c r="E68" i="24"/>
  <c r="G68" i="24"/>
  <c r="K68" i="24"/>
  <c r="M68" i="24"/>
  <c r="N68" i="24"/>
  <c r="E69" i="24"/>
  <c r="G69" i="24"/>
  <c r="K69" i="24"/>
  <c r="M69" i="24"/>
  <c r="N69" i="24"/>
  <c r="E70" i="24"/>
  <c r="G70" i="24"/>
  <c r="K70" i="24"/>
  <c r="M70" i="24"/>
  <c r="N70" i="24"/>
  <c r="A4" i="21"/>
  <c r="A5" i="21" s="1"/>
  <c r="A6" i="21" s="1"/>
  <c r="A7" i="21" s="1"/>
  <c r="A8" i="21" s="1"/>
  <c r="A9" i="21" s="1"/>
  <c r="A10" i="21" s="1"/>
  <c r="A11" i="21" s="1"/>
  <c r="A13" i="21" s="1"/>
  <c r="A14" i="21" s="1"/>
  <c r="A15" i="21" s="1"/>
  <c r="A16" i="21" s="1"/>
  <c r="A17" i="21" s="1"/>
  <c r="A18" i="21" s="1"/>
  <c r="A19" i="21" s="1"/>
  <c r="A20" i="21" s="1"/>
  <c r="B95" i="10"/>
  <c r="B329" i="10"/>
  <c r="B98" i="10"/>
  <c r="F95" i="10"/>
  <c r="F97" i="10"/>
  <c r="F99" i="10"/>
  <c r="E325" i="10"/>
  <c r="E327" i="10"/>
  <c r="E329" i="10"/>
  <c r="E331" i="10"/>
  <c r="E333" i="10"/>
  <c r="F96" i="10"/>
  <c r="E97" i="10"/>
  <c r="F327" i="10"/>
  <c r="F330" i="10"/>
  <c r="E94" i="10"/>
  <c r="E98" i="10"/>
  <c r="F325" i="10"/>
  <c r="E328" i="10"/>
  <c r="F331" i="10"/>
  <c r="E332" i="10"/>
  <c r="E102" i="10"/>
  <c r="E100" i="10"/>
  <c r="E101" i="10"/>
  <c r="E37" i="4"/>
  <c r="L109" i="5"/>
  <c r="M109" i="5"/>
  <c r="F40" i="6"/>
  <c r="F45" i="6"/>
  <c r="F43" i="6"/>
  <c r="F44" i="6"/>
  <c r="F47" i="6"/>
  <c r="F48" i="6"/>
  <c r="E326" i="10"/>
  <c r="C66" i="10"/>
  <c r="J170" i="10"/>
  <c r="C67" i="10"/>
  <c r="C65" i="10"/>
  <c r="D108" i="10"/>
  <c r="D90" i="10" s="1"/>
  <c r="D35" i="4"/>
  <c r="E33" i="4"/>
  <c r="L111" i="5"/>
  <c r="M111" i="5" s="1"/>
  <c r="L107" i="5"/>
  <c r="M107" i="5" s="1"/>
  <c r="G79" i="5"/>
  <c r="F39" i="6"/>
  <c r="E330" i="10"/>
  <c r="F100" i="10"/>
  <c r="E39" i="4"/>
  <c r="E38" i="4"/>
  <c r="D90" i="5"/>
  <c r="C84" i="5"/>
  <c r="C80" i="5"/>
  <c r="E28" i="8"/>
  <c r="E72" i="10"/>
  <c r="E74" i="10"/>
  <c r="E76" i="10"/>
  <c r="E75" i="10"/>
  <c r="E73" i="10"/>
  <c r="E34" i="4"/>
  <c r="L112" i="5"/>
  <c r="M112" i="5" s="1"/>
  <c r="F329" i="10"/>
  <c r="F328" i="10"/>
  <c r="F121" i="10"/>
  <c r="G121" i="10" s="1"/>
  <c r="F125" i="10"/>
  <c r="G125" i="10" s="1"/>
  <c r="F122" i="10"/>
  <c r="G122" i="10"/>
  <c r="F124" i="10"/>
  <c r="G124" i="10" s="1"/>
  <c r="F128" i="10"/>
  <c r="G128" i="10" s="1"/>
  <c r="F132" i="10"/>
  <c r="G132" i="10" s="1"/>
  <c r="F119" i="10"/>
  <c r="G119" i="10"/>
  <c r="F126" i="10"/>
  <c r="G126" i="10" s="1"/>
  <c r="F34" i="4"/>
  <c r="D31" i="4"/>
  <c r="G126" i="15"/>
  <c r="J126" i="15" s="1"/>
  <c r="G110" i="15"/>
  <c r="J110" i="15" s="1"/>
  <c r="G102" i="15"/>
  <c r="J102" i="15" s="1"/>
  <c r="L116" i="5"/>
  <c r="M116" i="5" s="1"/>
  <c r="L113" i="5"/>
  <c r="M113" i="5" s="1"/>
  <c r="L108" i="5"/>
  <c r="M108" i="5" s="1"/>
  <c r="B83" i="5"/>
  <c r="H79" i="5"/>
  <c r="H83" i="5"/>
  <c r="H87" i="5"/>
  <c r="H86" i="5"/>
  <c r="D83" i="5"/>
  <c r="D87" i="5"/>
  <c r="D82" i="5"/>
  <c r="D85" i="5"/>
  <c r="D86" i="5"/>
  <c r="D84" i="5"/>
  <c r="D81" i="5"/>
  <c r="D80" i="5"/>
  <c r="D59" i="7"/>
  <c r="D61" i="7"/>
  <c r="D63" i="7"/>
  <c r="D65" i="7"/>
  <c r="D67" i="7"/>
  <c r="D58" i="7"/>
  <c r="D62" i="7"/>
  <c r="D66" i="7"/>
  <c r="D60" i="7"/>
  <c r="D64" i="7"/>
  <c r="E96" i="10"/>
  <c r="E95" i="10"/>
  <c r="F94" i="10"/>
  <c r="K171" i="7"/>
  <c r="L171" i="7"/>
  <c r="K159" i="7"/>
  <c r="I174" i="10"/>
  <c r="J174" i="10" s="1"/>
  <c r="L87" i="7"/>
  <c r="G165" i="10"/>
  <c r="H165" i="10" s="1"/>
  <c r="G168" i="10"/>
  <c r="H168" i="10" s="1"/>
  <c r="C40" i="6"/>
  <c r="L154" i="7"/>
  <c r="F58" i="7"/>
  <c r="F60" i="7"/>
  <c r="F62" i="7"/>
  <c r="F64" i="7"/>
  <c r="F66" i="7"/>
  <c r="F68" i="7"/>
  <c r="F36" i="8"/>
  <c r="F35" i="8"/>
  <c r="F32" i="8"/>
  <c r="F31" i="8"/>
  <c r="F28" i="8"/>
  <c r="G159" i="10"/>
  <c r="J159" i="10" s="1"/>
  <c r="G148" i="10"/>
  <c r="J148" i="10" s="1"/>
  <c r="G143" i="10"/>
  <c r="J143" i="10" s="1"/>
  <c r="C332" i="10"/>
  <c r="C101" i="10"/>
  <c r="G27" i="8"/>
  <c r="G29" i="8"/>
  <c r="G31" i="8"/>
  <c r="G33" i="8"/>
  <c r="G35" i="8"/>
  <c r="W141" i="10"/>
  <c r="X141" i="10" s="1"/>
  <c r="W154" i="10"/>
  <c r="X154" i="10" s="1"/>
  <c r="W158" i="10"/>
  <c r="X158" i="10" s="1"/>
  <c r="D324" i="10"/>
  <c r="C72" i="10"/>
  <c r="G322" i="10"/>
  <c r="G324" i="10"/>
  <c r="G339" i="10"/>
  <c r="G90" i="10"/>
  <c r="G91" i="10"/>
  <c r="G321" i="10"/>
  <c r="G92" i="10"/>
  <c r="G93" i="10"/>
  <c r="G323" i="10"/>
  <c r="H92" i="5" l="1"/>
  <c r="H91" i="5"/>
  <c r="EQ25" i="23"/>
  <c r="ET35" i="23"/>
  <c r="ET89" i="23"/>
  <c r="EN30" i="23"/>
  <c r="EQ54" i="23"/>
  <c r="EJ21" i="23"/>
  <c r="EK21" i="23"/>
  <c r="J17" i="2"/>
  <c r="G80" i="15"/>
  <c r="J80" i="15" s="1"/>
  <c r="G78" i="15"/>
  <c r="J78" i="15" s="1"/>
  <c r="G70" i="15"/>
  <c r="J70" i="15" s="1"/>
  <c r="H80" i="5"/>
  <c r="F34" i="8"/>
  <c r="G30" i="8"/>
  <c r="I180" i="10"/>
  <c r="J180" i="10" s="1"/>
  <c r="W152" i="10"/>
  <c r="X152" i="10" s="1"/>
  <c r="W150" i="10"/>
  <c r="X150" i="10" s="1"/>
  <c r="EL73" i="23"/>
  <c r="EK69" i="23"/>
  <c r="EP33" i="23"/>
  <c r="G143" i="15"/>
  <c r="J143" i="15" s="1"/>
  <c r="G139" i="15"/>
  <c r="J139" i="15" s="1"/>
  <c r="G137" i="15"/>
  <c r="J137" i="15" s="1"/>
  <c r="G131" i="15"/>
  <c r="J131" i="15" s="1"/>
  <c r="G85" i="15"/>
  <c r="J85" i="15" s="1"/>
  <c r="G81" i="15"/>
  <c r="J81" i="15" s="1"/>
  <c r="L100" i="7"/>
  <c r="F30" i="8"/>
  <c r="G167" i="10"/>
  <c r="H167" i="10" s="1"/>
  <c r="EP30" i="23"/>
  <c r="EM48" i="23"/>
  <c r="EP63" i="23"/>
  <c r="D92" i="10"/>
  <c r="G142" i="15"/>
  <c r="J142" i="15" s="1"/>
  <c r="G134" i="15"/>
  <c r="J134" i="15" s="1"/>
  <c r="B41" i="6"/>
  <c r="F33" i="8"/>
  <c r="G28" i="8"/>
  <c r="I178" i="10"/>
  <c r="J178" i="10" s="1"/>
  <c r="G166" i="10"/>
  <c r="H166" i="10" s="1"/>
  <c r="W146" i="10"/>
  <c r="X146" i="10" s="1"/>
  <c r="ET47" i="23"/>
  <c r="EJ91" i="23"/>
  <c r="EL91" i="23" s="1"/>
  <c r="F37" i="4"/>
  <c r="F32" i="4"/>
  <c r="F39" i="4"/>
  <c r="F31" i="4"/>
  <c r="F38" i="4"/>
  <c r="D39" i="6"/>
  <c r="C42" i="6"/>
  <c r="E44" i="6"/>
  <c r="C47" i="6"/>
  <c r="E40" i="6"/>
  <c r="D42" i="6"/>
  <c r="C45" i="6"/>
  <c r="D48" i="6"/>
  <c r="C39" i="6"/>
  <c r="D41" i="6"/>
  <c r="D46" i="6"/>
  <c r="E41" i="6"/>
  <c r="C44" i="6"/>
  <c r="C41" i="6"/>
  <c r="D45" i="6"/>
  <c r="E46" i="6"/>
  <c r="E43" i="6"/>
  <c r="D47" i="6"/>
  <c r="E29" i="8"/>
  <c r="E30" i="8"/>
  <c r="E27" i="8"/>
  <c r="E34" i="8"/>
  <c r="E32" i="8"/>
  <c r="E35" i="8"/>
  <c r="C321" i="10"/>
  <c r="C90" i="10"/>
  <c r="CB40" i="23"/>
  <c r="CC40" i="23"/>
  <c r="C92" i="5"/>
  <c r="C91" i="5"/>
  <c r="C89" i="5"/>
  <c r="B80" i="5"/>
  <c r="B89" i="5"/>
  <c r="E80" i="5"/>
  <c r="E79" i="5"/>
  <c r="E81" i="5"/>
  <c r="E85" i="5"/>
  <c r="EJ66" i="23"/>
  <c r="EK66" i="23"/>
  <c r="EP86" i="23"/>
  <c r="EQ86" i="23"/>
  <c r="C48" i="6"/>
  <c r="E47" i="6"/>
  <c r="D30" i="4"/>
  <c r="E31" i="8"/>
  <c r="C73" i="10"/>
  <c r="C74" i="10"/>
  <c r="E39" i="6"/>
  <c r="F36" i="4"/>
  <c r="G128" i="15"/>
  <c r="J128" i="15" s="1"/>
  <c r="G94" i="15"/>
  <c r="J94" i="15" s="1"/>
  <c r="G64" i="15"/>
  <c r="J64" i="15" s="1"/>
  <c r="H90" i="5"/>
  <c r="H89" i="5"/>
  <c r="H88" i="5"/>
  <c r="D44" i="6"/>
  <c r="EK71" i="23"/>
  <c r="EN89" i="23"/>
  <c r="EQ60" i="23"/>
  <c r="EP60" i="23"/>
  <c r="D43" i="6"/>
  <c r="E45" i="6"/>
  <c r="E42" i="6"/>
  <c r="F88" i="5"/>
  <c r="F86" i="5"/>
  <c r="F85" i="5"/>
  <c r="E48" i="6"/>
  <c r="EJ70" i="23"/>
  <c r="EK70" i="23"/>
  <c r="B85" i="5"/>
  <c r="E33" i="8"/>
  <c r="C88" i="5"/>
  <c r="E36" i="8"/>
  <c r="E84" i="5"/>
  <c r="C324" i="10"/>
  <c r="D32" i="4"/>
  <c r="D38" i="4"/>
  <c r="D37" i="4"/>
  <c r="D33" i="4"/>
  <c r="EJ15" i="23"/>
  <c r="EK15" i="23"/>
  <c r="EN85" i="23"/>
  <c r="EM85" i="23"/>
  <c r="EN28" i="23"/>
  <c r="EW28" i="23" s="1"/>
  <c r="EM28" i="23"/>
  <c r="EN51" i="23"/>
  <c r="EM51" i="23"/>
  <c r="I176" i="10"/>
  <c r="J176" i="10" s="1"/>
  <c r="B339" i="10"/>
  <c r="B324" i="10"/>
  <c r="EQ24" i="23"/>
  <c r="EP62" i="23"/>
  <c r="EQ62" i="23"/>
  <c r="EJ53" i="23"/>
  <c r="EK53" i="23"/>
  <c r="EO71" i="23"/>
  <c r="EK34" i="23"/>
  <c r="EJ34" i="23"/>
  <c r="EQ61" i="23"/>
  <c r="EP61" i="23"/>
  <c r="D102" i="10"/>
  <c r="B323" i="10"/>
  <c r="G96" i="15"/>
  <c r="J96" i="15" s="1"/>
  <c r="F41" i="6"/>
  <c r="F42" i="6"/>
  <c r="F46" i="6"/>
  <c r="K139" i="7"/>
  <c r="L139" i="7"/>
  <c r="K87" i="7"/>
  <c r="F59" i="7"/>
  <c r="F61" i="7"/>
  <c r="F63" i="7"/>
  <c r="F65" i="7"/>
  <c r="D35" i="8"/>
  <c r="C28" i="8"/>
  <c r="I179" i="10"/>
  <c r="J179" i="10" s="1"/>
  <c r="I175" i="10"/>
  <c r="J175" i="10" s="1"/>
  <c r="G146" i="10"/>
  <c r="J146" i="10" s="1"/>
  <c r="W151" i="10"/>
  <c r="X151" i="10" s="1"/>
  <c r="D94" i="10"/>
  <c r="D96" i="10"/>
  <c r="C98" i="10"/>
  <c r="G99" i="10"/>
  <c r="D325" i="10"/>
  <c r="G326" i="10"/>
  <c r="D328" i="10"/>
  <c r="D330" i="10"/>
  <c r="C323" i="10"/>
  <c r="C95" i="10"/>
  <c r="G96" i="10"/>
  <c r="D98" i="10"/>
  <c r="D101" i="10"/>
  <c r="C326" i="10"/>
  <c r="C327" i="10"/>
  <c r="G328" i="10"/>
  <c r="D331" i="10"/>
  <c r="G333" i="10"/>
  <c r="EQ40" i="23"/>
  <c r="EP40" i="23"/>
  <c r="ER40" i="23" s="1"/>
  <c r="EJ23" i="23"/>
  <c r="EK23" i="23"/>
  <c r="EQ59" i="23"/>
  <c r="EP20" i="23"/>
  <c r="EJ47" i="23"/>
  <c r="EK47" i="23"/>
  <c r="EP68" i="23"/>
  <c r="EJ40" i="23"/>
  <c r="EL40" i="23" s="1"/>
  <c r="EJ52" i="23"/>
  <c r="EK52" i="23"/>
  <c r="EP83" i="23"/>
  <c r="EQ83" i="23"/>
  <c r="EJ13" i="23"/>
  <c r="EL13" i="23" s="1"/>
  <c r="EL51" i="23"/>
  <c r="EM63" i="23"/>
  <c r="EG60" i="23"/>
  <c r="EN22" i="23"/>
  <c r="EM22" i="23"/>
  <c r="EO22" i="23" s="1"/>
  <c r="EK19" i="23"/>
  <c r="EK57" i="23"/>
  <c r="EJ57" i="23"/>
  <c r="EP77" i="23"/>
  <c r="ER77" i="23" s="1"/>
  <c r="EK89" i="23"/>
  <c r="EJ89" i="23"/>
  <c r="EL89" i="23" s="1"/>
  <c r="EM70" i="23"/>
  <c r="EN70" i="23"/>
  <c r="EJ33" i="23"/>
  <c r="EK33" i="23"/>
  <c r="EQ90" i="23"/>
  <c r="EP90" i="23"/>
  <c r="ER90" i="23" s="1"/>
  <c r="G122" i="15"/>
  <c r="J122" i="15" s="1"/>
  <c r="G118" i="15"/>
  <c r="J118" i="15" s="1"/>
  <c r="G114" i="15"/>
  <c r="J114" i="15" s="1"/>
  <c r="G108" i="15"/>
  <c r="J108" i="15" s="1"/>
  <c r="G105" i="15"/>
  <c r="J105" i="15" s="1"/>
  <c r="G104" i="15"/>
  <c r="J104" i="15" s="1"/>
  <c r="G100" i="15"/>
  <c r="J100" i="15" s="1"/>
  <c r="D333" i="10"/>
  <c r="F98" i="10"/>
  <c r="F333" i="10"/>
  <c r="F340" i="10"/>
  <c r="F101" i="10"/>
  <c r="F102" i="10"/>
  <c r="I68" i="10"/>
  <c r="I65" i="10"/>
  <c r="EJ45" i="23"/>
  <c r="EL45" i="23" s="1"/>
  <c r="EK45" i="23"/>
  <c r="EK58" i="23"/>
  <c r="EQ75" i="23"/>
  <c r="ET13" i="23"/>
  <c r="ES66" i="23"/>
  <c r="ET66" i="23"/>
  <c r="EL80" i="23"/>
  <c r="EN26" i="23"/>
  <c r="EM26" i="23"/>
  <c r="EN65" i="23"/>
  <c r="EM65" i="23"/>
  <c r="EO65" i="23" s="1"/>
  <c r="EL19" i="23"/>
  <c r="EM12" i="23"/>
  <c r="EN12" i="23"/>
  <c r="EJ68" i="23"/>
  <c r="EK68" i="23"/>
  <c r="EL22" i="23"/>
  <c r="EJ38" i="23"/>
  <c r="EK38" i="23"/>
  <c r="EJ74" i="23"/>
  <c r="EK74" i="23"/>
  <c r="EL74" i="23" s="1"/>
  <c r="EQ81" i="23"/>
  <c r="F35" i="4"/>
  <c r="G138" i="15"/>
  <c r="J138" i="15" s="1"/>
  <c r="G133" i="15"/>
  <c r="J133" i="15" s="1"/>
  <c r="G130" i="15"/>
  <c r="J130" i="15" s="1"/>
  <c r="G129" i="15"/>
  <c r="J129" i="15" s="1"/>
  <c r="G127" i="15"/>
  <c r="J127" i="15" s="1"/>
  <c r="G124" i="15"/>
  <c r="J124" i="15" s="1"/>
  <c r="G123" i="15"/>
  <c r="J123" i="15" s="1"/>
  <c r="G121" i="15"/>
  <c r="J121" i="15" s="1"/>
  <c r="G120" i="15"/>
  <c r="J120" i="15" s="1"/>
  <c r="G116" i="15"/>
  <c r="J116" i="15" s="1"/>
  <c r="G115" i="15"/>
  <c r="J115" i="15" s="1"/>
  <c r="G106" i="15"/>
  <c r="J106" i="15" s="1"/>
  <c r="G101" i="15"/>
  <c r="J101" i="15" s="1"/>
  <c r="G98" i="15"/>
  <c r="J98" i="15" s="1"/>
  <c r="G97" i="15"/>
  <c r="J97" i="15" s="1"/>
  <c r="G95" i="15"/>
  <c r="J95" i="15" s="1"/>
  <c r="G92" i="15"/>
  <c r="J92" i="15" s="1"/>
  <c r="G91" i="15"/>
  <c r="J91" i="15" s="1"/>
  <c r="G89" i="15"/>
  <c r="J89" i="15" s="1"/>
  <c r="G88" i="15"/>
  <c r="J88" i="15" s="1"/>
  <c r="G84" i="15"/>
  <c r="J84" i="15" s="1"/>
  <c r="G83" i="15"/>
  <c r="J83" i="15" s="1"/>
  <c r="G74" i="15"/>
  <c r="J74" i="15" s="1"/>
  <c r="G69" i="15"/>
  <c r="J69" i="15" s="1"/>
  <c r="G66" i="15"/>
  <c r="J66" i="15" s="1"/>
  <c r="G65" i="15"/>
  <c r="J65" i="15" s="1"/>
  <c r="G34" i="8"/>
  <c r="G32" i="8"/>
  <c r="F29" i="8"/>
  <c r="E340" i="10"/>
  <c r="ET23" i="23"/>
  <c r="EP41" i="23"/>
  <c r="EQ21" i="23"/>
  <c r="ET56" i="23"/>
  <c r="EK36" i="23"/>
  <c r="EL36" i="23" s="1"/>
  <c r="EM43" i="23"/>
  <c r="EP19" i="23"/>
  <c r="EK48" i="23"/>
  <c r="EM17" i="23"/>
  <c r="EO17" i="23" s="1"/>
  <c r="EQ69" i="23"/>
  <c r="EK20" i="23"/>
  <c r="EP22" i="23"/>
  <c r="ET70" i="23"/>
  <c r="E31" i="4"/>
  <c r="F33" i="4"/>
  <c r="H84" i="5"/>
  <c r="I66" i="10"/>
  <c r="B91" i="10"/>
  <c r="B90" i="10"/>
  <c r="EP38" i="23"/>
  <c r="EQ28" i="23"/>
  <c r="ET20" i="23"/>
  <c r="EP54" i="23"/>
  <c r="EQ63" i="23"/>
  <c r="ER63" i="23" s="1"/>
  <c r="EP49" i="23"/>
  <c r="EP55" i="23"/>
  <c r="EP81" i="23"/>
  <c r="EK18" i="23"/>
  <c r="EL12" i="23"/>
  <c r="EL50" i="23"/>
  <c r="ET79" i="23"/>
  <c r="EH57" i="23"/>
  <c r="ET82" i="23"/>
  <c r="EQ80" i="23"/>
  <c r="EJ16" i="23"/>
  <c r="EL16" i="23" s="1"/>
  <c r="EJ75" i="23"/>
  <c r="EL75" i="23" s="1"/>
  <c r="EP79" i="23"/>
  <c r="ET51" i="23"/>
  <c r="EG61" i="23"/>
  <c r="CB58" i="23"/>
  <c r="CO58" i="23" s="1"/>
  <c r="CQ58" i="23" s="1"/>
  <c r="DZ58" i="23" s="1"/>
  <c r="ET58" i="23" s="1"/>
  <c r="EO48" i="23"/>
  <c r="CC83" i="23"/>
  <c r="CP83" i="23" s="1"/>
  <c r="CR83" i="23" s="1"/>
  <c r="EK61" i="23"/>
  <c r="EL61" i="23" s="1"/>
  <c r="EL87" i="23"/>
  <c r="ES46" i="23"/>
  <c r="EU46" i="23" s="1"/>
  <c r="EM72" i="23"/>
  <c r="EN64" i="23"/>
  <c r="EW64" i="23" s="1"/>
  <c r="EM31" i="23"/>
  <c r="EO31" i="23" s="1"/>
  <c r="EN16" i="23"/>
  <c r="EO16" i="23" s="1"/>
  <c r="EM84" i="23"/>
  <c r="EO84" i="23" s="1"/>
  <c r="EW26" i="23"/>
  <c r="EN50" i="23"/>
  <c r="EW50" i="23" s="1"/>
  <c r="EV74" i="23"/>
  <c r="EG66" i="23"/>
  <c r="EN82" i="23"/>
  <c r="ES61" i="23"/>
  <c r="EH46" i="23"/>
  <c r="EN66" i="23"/>
  <c r="ET53" i="23"/>
  <c r="EU53" i="23" s="1"/>
  <c r="EG21" i="23"/>
  <c r="ES21" i="23"/>
  <c r="EU21" i="23" s="1"/>
  <c r="EW51" i="23"/>
  <c r="ES18" i="23"/>
  <c r="EU18" i="23" s="1"/>
  <c r="ES51" i="23"/>
  <c r="EU51" i="23" s="1"/>
  <c r="EH74" i="23"/>
  <c r="EH20" i="23"/>
  <c r="ET74" i="23"/>
  <c r="EU74" i="23" s="1"/>
  <c r="ES91" i="23"/>
  <c r="EU91" i="23" s="1"/>
  <c r="EW55" i="23"/>
  <c r="ES81" i="23"/>
  <c r="EW65" i="23"/>
  <c r="EG20" i="23"/>
  <c r="ES23" i="23"/>
  <c r="EG42" i="23"/>
  <c r="EG57" i="23"/>
  <c r="EW67" i="23"/>
  <c r="ES69" i="23"/>
  <c r="EU69" i="23" s="1"/>
  <c r="EH91" i="23"/>
  <c r="ES54" i="23"/>
  <c r="EU54" i="23" s="1"/>
  <c r="EW85" i="23"/>
  <c r="ES67" i="23"/>
  <c r="EU67" i="23" s="1"/>
  <c r="EW32" i="23"/>
  <c r="EG40" i="23"/>
  <c r="ES58" i="23"/>
  <c r="EU58" i="23" s="1"/>
  <c r="EH33" i="23"/>
  <c r="EW69" i="23"/>
  <c r="EG48" i="23"/>
  <c r="EH52" i="23"/>
  <c r="ES34" i="23"/>
  <c r="EU34" i="23" s="1"/>
  <c r="EH72" i="23"/>
  <c r="EW72" i="23"/>
  <c r="ES52" i="23"/>
  <c r="EU52" i="23" s="1"/>
  <c r="EH84" i="23"/>
  <c r="ES40" i="23"/>
  <c r="EU40" i="23" s="1"/>
  <c r="EW40" i="23"/>
  <c r="ES84" i="23"/>
  <c r="EU84" i="23" s="1"/>
  <c r="EG65" i="23"/>
  <c r="ET43" i="23"/>
  <c r="ES43" i="23"/>
  <c r="EG19" i="23"/>
  <c r="EG27" i="23"/>
  <c r="EH59" i="23"/>
  <c r="EG64" i="23"/>
  <c r="EG83" i="23"/>
  <c r="ES65" i="23"/>
  <c r="EU65" i="23" s="1"/>
  <c r="ES38" i="23"/>
  <c r="EU38" i="23" s="1"/>
  <c r="EW15" i="23"/>
  <c r="EG45" i="23"/>
  <c r="ES64" i="23"/>
  <c r="EU64" i="23" s="1"/>
  <c r="EW39" i="23"/>
  <c r="EW84" i="23"/>
  <c r="EG90" i="23"/>
  <c r="EH47" i="23"/>
  <c r="ES33" i="23"/>
  <c r="EU33" i="23" s="1"/>
  <c r="ES90" i="23"/>
  <c r="EU90" i="23" s="1"/>
  <c r="EW46" i="23"/>
  <c r="EG41" i="23"/>
  <c r="ES56" i="23"/>
  <c r="EU56" i="23" s="1"/>
  <c r="ES48" i="23"/>
  <c r="ES45" i="23"/>
  <c r="EU45" i="23" s="1"/>
  <c r="ES70" i="23"/>
  <c r="EH64" i="23"/>
  <c r="EH90" i="23"/>
  <c r="EH58" i="23"/>
  <c r="EW71" i="23"/>
  <c r="ER54" i="23"/>
  <c r="EN49" i="23"/>
  <c r="EO49" i="23" s="1"/>
  <c r="EN43" i="23"/>
  <c r="EH77" i="23"/>
  <c r="EO67" i="23"/>
  <c r="EM55" i="23"/>
  <c r="EO55" i="23" s="1"/>
  <c r="EN58" i="23"/>
  <c r="EN20" i="23"/>
  <c r="EM58" i="23"/>
  <c r="EO58" i="23" s="1"/>
  <c r="EM82" i="23"/>
  <c r="EW48" i="23"/>
  <c r="EN63" i="23"/>
  <c r="EO63" i="23" s="1"/>
  <c r="EN38" i="23"/>
  <c r="EW38" i="23" s="1"/>
  <c r="EM66" i="23"/>
  <c r="EN14" i="23"/>
  <c r="EO14" i="23" s="1"/>
  <c r="EM80" i="23"/>
  <c r="EW79" i="23"/>
  <c r="EO79" i="23"/>
  <c r="EM20" i="23"/>
  <c r="EN33" i="23"/>
  <c r="EW33" i="23" s="1"/>
  <c r="EH66" i="23"/>
  <c r="EI66" i="23" s="1"/>
  <c r="EN90" i="23"/>
  <c r="EW90" i="23" s="1"/>
  <c r="EQ20" i="23"/>
  <c r="ER20" i="23" s="1"/>
  <c r="EH55" i="23"/>
  <c r="EG22" i="23"/>
  <c r="EP52" i="23"/>
  <c r="EG72" i="23"/>
  <c r="EG69" i="23"/>
  <c r="ER25" i="23"/>
  <c r="ER59" i="23"/>
  <c r="EQ22" i="23"/>
  <c r="ER22" i="23" s="1"/>
  <c r="EG75" i="23"/>
  <c r="EG81" i="23"/>
  <c r="EG79" i="23"/>
  <c r="EH28" i="23"/>
  <c r="ER81" i="23"/>
  <c r="ER83" i="23"/>
  <c r="EQ79" i="23"/>
  <c r="EG28" i="23"/>
  <c r="EG33" i="23"/>
  <c r="EQ71" i="23"/>
  <c r="EG71" i="23"/>
  <c r="EP71" i="23"/>
  <c r="EO33" i="23"/>
  <c r="ES22" i="23"/>
  <c r="ET22" i="23"/>
  <c r="ET75" i="23"/>
  <c r="ES75" i="23"/>
  <c r="ET87" i="23"/>
  <c r="EW87" i="23" s="1"/>
  <c r="ES87" i="23"/>
  <c r="EV87" i="23" s="1"/>
  <c r="ET25" i="23"/>
  <c r="EW25" i="23" s="1"/>
  <c r="EG25" i="23"/>
  <c r="ES25" i="23"/>
  <c r="EV25" i="23" s="1"/>
  <c r="ET24" i="23"/>
  <c r="EW24" i="23" s="1"/>
  <c r="ES24" i="23"/>
  <c r="EV24" i="23" s="1"/>
  <c r="ET76" i="23"/>
  <c r="EW76" i="23" s="1"/>
  <c r="ES76" i="23"/>
  <c r="EV76" i="23" s="1"/>
  <c r="ET77" i="23"/>
  <c r="ES77" i="23"/>
  <c r="EG77" i="23"/>
  <c r="EP85" i="23"/>
  <c r="EG85" i="23"/>
  <c r="EQ85" i="23"/>
  <c r="EH85" i="23"/>
  <c r="EP51" i="23"/>
  <c r="EQ51" i="23"/>
  <c r="EG51" i="23"/>
  <c r="EH51" i="23"/>
  <c r="ET12" i="23"/>
  <c r="ES12" i="23"/>
  <c r="EV12" i="23" s="1"/>
  <c r="ET17" i="23"/>
  <c r="EW17" i="23" s="1"/>
  <c r="EH17" i="23"/>
  <c r="EH43" i="23"/>
  <c r="EP43" i="23"/>
  <c r="EG43" i="23"/>
  <c r="EQ43" i="23"/>
  <c r="EO25" i="23"/>
  <c r="EO30" i="23"/>
  <c r="EN21" i="23"/>
  <c r="EW21" i="23" s="1"/>
  <c r="EM21" i="23"/>
  <c r="EK62" i="23"/>
  <c r="EJ62" i="23"/>
  <c r="EQ26" i="23"/>
  <c r="EP26" i="23"/>
  <c r="EG26" i="23"/>
  <c r="EH26" i="23"/>
  <c r="EK72" i="23"/>
  <c r="EJ72" i="23"/>
  <c r="EK59" i="23"/>
  <c r="EL59" i="23" s="1"/>
  <c r="EG59" i="23"/>
  <c r="EH87" i="23"/>
  <c r="EP87" i="23"/>
  <c r="EG87" i="23"/>
  <c r="EQ87" i="23"/>
  <c r="EV61" i="23"/>
  <c r="EO61" i="23"/>
  <c r="EO86" i="23"/>
  <c r="EN45" i="23"/>
  <c r="EW45" i="23" s="1"/>
  <c r="EM45" i="23"/>
  <c r="EQ37" i="23"/>
  <c r="EH37" i="23"/>
  <c r="EP37" i="23"/>
  <c r="EG37" i="23"/>
  <c r="EK25" i="23"/>
  <c r="EJ25" i="23"/>
  <c r="EH35" i="23"/>
  <c r="EP35" i="23"/>
  <c r="EG35" i="23"/>
  <c r="EQ35" i="23"/>
  <c r="EM42" i="23"/>
  <c r="EN42" i="23"/>
  <c r="EW42" i="23" s="1"/>
  <c r="EH31" i="23"/>
  <c r="EG31" i="23"/>
  <c r="EQ31" i="23"/>
  <c r="EP31" i="23"/>
  <c r="EM44" i="23"/>
  <c r="EN44" i="23"/>
  <c r="EW44" i="23" s="1"/>
  <c r="EQ76" i="23"/>
  <c r="EH76" i="23"/>
  <c r="EP76" i="23"/>
  <c r="EG76" i="23"/>
  <c r="EO27" i="23"/>
  <c r="EO39" i="23"/>
  <c r="ET60" i="23"/>
  <c r="EH60" i="23"/>
  <c r="EI60" i="23" s="1"/>
  <c r="EN35" i="23"/>
  <c r="EW35" i="23" s="1"/>
  <c r="EQ27" i="23"/>
  <c r="EQ48" i="23"/>
  <c r="EL58" i="23"/>
  <c r="EG32" i="23"/>
  <c r="EN37" i="23"/>
  <c r="EW37" i="23" s="1"/>
  <c r="EG47" i="23"/>
  <c r="EP24" i="23"/>
  <c r="ER24" i="23" s="1"/>
  <c r="EH25" i="23"/>
  <c r="EQ45" i="23"/>
  <c r="ER45" i="23" s="1"/>
  <c r="ES41" i="23"/>
  <c r="EU41" i="23" s="1"/>
  <c r="EP66" i="23"/>
  <c r="ES63" i="23"/>
  <c r="EU63" i="23" s="1"/>
  <c r="EQ52" i="23"/>
  <c r="EH21" i="23"/>
  <c r="EH71" i="23"/>
  <c r="EK41" i="23"/>
  <c r="ER86" i="23"/>
  <c r="EW31" i="23"/>
  <c r="EH79" i="23"/>
  <c r="ES79" i="23"/>
  <c r="EU79" i="23" s="1"/>
  <c r="EP74" i="23"/>
  <c r="ER74" i="23" s="1"/>
  <c r="EH30" i="23"/>
  <c r="EJ67" i="23"/>
  <c r="EL67" i="23" s="1"/>
  <c r="EL20" i="23"/>
  <c r="EG55" i="23"/>
  <c r="EJ18" i="23"/>
  <c r="EL18" i="23" s="1"/>
  <c r="EH48" i="23"/>
  <c r="ES30" i="23"/>
  <c r="EU30" i="23" s="1"/>
  <c r="EP28" i="23"/>
  <c r="EQ58" i="23"/>
  <c r="ER58" i="23" s="1"/>
  <c r="EH22" i="23"/>
  <c r="EG52" i="23"/>
  <c r="ES42" i="23"/>
  <c r="EU42" i="23" s="1"/>
  <c r="ES82" i="23"/>
  <c r="EU82" i="23" s="1"/>
  <c r="EQ47" i="23"/>
  <c r="EQ66" i="23"/>
  <c r="EQ78" i="23"/>
  <c r="ER78" i="23" s="1"/>
  <c r="EG24" i="23"/>
  <c r="EH40" i="23"/>
  <c r="EH45" i="23"/>
  <c r="ES32" i="23"/>
  <c r="EU32" i="23" s="1"/>
  <c r="EL69" i="23"/>
  <c r="EJ48" i="23"/>
  <c r="EL48" i="23" s="1"/>
  <c r="EP21" i="23"/>
  <c r="ER21" i="23" s="1"/>
  <c r="EK30" i="23"/>
  <c r="ES86" i="23"/>
  <c r="EU86" i="23" s="1"/>
  <c r="EW41" i="23"/>
  <c r="EK60" i="23"/>
  <c r="EL60" i="23" s="1"/>
  <c r="EG74" i="23"/>
  <c r="EK55" i="23"/>
  <c r="EL55" i="23" s="1"/>
  <c r="EH83" i="23"/>
  <c r="EW86" i="23"/>
  <c r="EG50" i="23"/>
  <c r="EQ13" i="23"/>
  <c r="EH13" i="23"/>
  <c r="EP13" i="23"/>
  <c r="EG13" i="23"/>
  <c r="EO41" i="23"/>
  <c r="EO24" i="23"/>
  <c r="EO40" i="23"/>
  <c r="EN91" i="23"/>
  <c r="EW91" i="23" s="1"/>
  <c r="EM91" i="23"/>
  <c r="EO80" i="23"/>
  <c r="EK17" i="23"/>
  <c r="EJ17" i="23"/>
  <c r="EL17" i="23" s="1"/>
  <c r="EQ29" i="23"/>
  <c r="EH29" i="23"/>
  <c r="EP29" i="23"/>
  <c r="EG29" i="23"/>
  <c r="EK32" i="23"/>
  <c r="EJ32" i="23"/>
  <c r="EQ34" i="23"/>
  <c r="EH34" i="23"/>
  <c r="EG34" i="23"/>
  <c r="EP34" i="23"/>
  <c r="EN13" i="23"/>
  <c r="EM13" i="23"/>
  <c r="EQ36" i="23"/>
  <c r="EP36" i="23"/>
  <c r="EO51" i="23"/>
  <c r="ET80" i="23"/>
  <c r="EW80" i="23" s="1"/>
  <c r="ES80" i="23"/>
  <c r="EV80" i="23" s="1"/>
  <c r="EO72" i="23"/>
  <c r="EO85" i="23"/>
  <c r="ET62" i="23"/>
  <c r="ES62" i="23"/>
  <c r="EH86" i="23"/>
  <c r="EG86" i="23"/>
  <c r="EM34" i="23"/>
  <c r="EN34" i="23"/>
  <c r="EW34" i="23" s="1"/>
  <c r="EH53" i="23"/>
  <c r="EP53" i="23"/>
  <c r="EG53" i="23"/>
  <c r="EQ53" i="23"/>
  <c r="ET27" i="23"/>
  <c r="EW27" i="23" s="1"/>
  <c r="ES27" i="23"/>
  <c r="EV27" i="23" s="1"/>
  <c r="EK28" i="23"/>
  <c r="EJ28" i="23"/>
  <c r="EG67" i="23"/>
  <c r="EH67" i="23"/>
  <c r="EQ67" i="23"/>
  <c r="EP67" i="23"/>
  <c r="EG82" i="23"/>
  <c r="EQ82" i="23"/>
  <c r="EP82" i="23"/>
  <c r="EH82" i="23"/>
  <c r="EQ73" i="23"/>
  <c r="EP73" i="23"/>
  <c r="EH73" i="23"/>
  <c r="EG73" i="23"/>
  <c r="CC38" i="23"/>
  <c r="CB38" i="23"/>
  <c r="CC49" i="23"/>
  <c r="CP49" i="23" s="1"/>
  <c r="CR49" i="23" s="1"/>
  <c r="CB49" i="23"/>
  <c r="CO49" i="23" s="1"/>
  <c r="CQ49" i="23" s="1"/>
  <c r="DZ49" i="23" s="1"/>
  <c r="EL30" i="23"/>
  <c r="EJ79" i="23"/>
  <c r="EL79" i="23" s="1"/>
  <c r="EH78" i="23"/>
  <c r="EK39" i="23"/>
  <c r="EL39" i="23" s="1"/>
  <c r="EQ41" i="23"/>
  <c r="ER41" i="23" s="1"/>
  <c r="EQ49" i="23"/>
  <c r="ES78" i="23"/>
  <c r="EU78" i="23" s="1"/>
  <c r="EP50" i="23"/>
  <c r="ER50" i="23" s="1"/>
  <c r="ET61" i="23"/>
  <c r="EG91" i="23"/>
  <c r="ES26" i="23"/>
  <c r="EU26" i="23" s="1"/>
  <c r="ES19" i="23"/>
  <c r="EU19" i="23" s="1"/>
  <c r="EK14" i="23"/>
  <c r="EL14" i="23" s="1"/>
  <c r="EP16" i="23"/>
  <c r="EW23" i="23"/>
  <c r="EH27" i="23"/>
  <c r="EQ32" i="23"/>
  <c r="ER32" i="23" s="1"/>
  <c r="EQ46" i="23"/>
  <c r="EL52" i="23"/>
  <c r="ES71" i="23"/>
  <c r="EQ33" i="23"/>
  <c r="ER33" i="23" s="1"/>
  <c r="EQ38" i="23"/>
  <c r="ER38" i="23" s="1"/>
  <c r="ER64" i="23"/>
  <c r="ES89" i="23"/>
  <c r="EU89" i="23" s="1"/>
  <c r="ES59" i="23"/>
  <c r="EU59" i="23" s="1"/>
  <c r="EG54" i="23"/>
  <c r="EH68" i="23"/>
  <c r="ES88" i="23"/>
  <c r="EU88" i="23" s="1"/>
  <c r="EH50" i="23"/>
  <c r="EK35" i="23"/>
  <c r="EL35" i="23" s="1"/>
  <c r="EQ72" i="23"/>
  <c r="ER72" i="23" s="1"/>
  <c r="EL37" i="23"/>
  <c r="EJ54" i="23"/>
  <c r="EL54" i="23" s="1"/>
  <c r="EN54" i="23"/>
  <c r="EW54" i="23" s="1"/>
  <c r="EL68" i="23"/>
  <c r="EG84" i="23"/>
  <c r="EW83" i="23"/>
  <c r="EP75" i="23"/>
  <c r="ER75" i="23" s="1"/>
  <c r="EW88" i="23"/>
  <c r="EK84" i="23"/>
  <c r="EL84" i="23" s="1"/>
  <c r="ES60" i="23"/>
  <c r="EV60" i="23" s="1"/>
  <c r="EW58" i="23"/>
  <c r="EG30" i="23"/>
  <c r="EP57" i="23"/>
  <c r="ER57" i="23" s="1"/>
  <c r="EH69" i="23"/>
  <c r="EP80" i="23"/>
  <c r="ER80" i="23" s="1"/>
  <c r="ER91" i="23"/>
  <c r="EO74" i="23"/>
  <c r="EM68" i="23"/>
  <c r="EN68" i="23"/>
  <c r="EW68" i="23" s="1"/>
  <c r="EG88" i="23"/>
  <c r="EP88" i="23"/>
  <c r="EQ88" i="23"/>
  <c r="EH88" i="23"/>
  <c r="CC60" i="23"/>
  <c r="CB60" i="23"/>
  <c r="CC14" i="23"/>
  <c r="CP14" i="23" s="1"/>
  <c r="CR14" i="23" s="1"/>
  <c r="CB14" i="23"/>
  <c r="CO14" i="23" s="1"/>
  <c r="CQ14" i="23" s="1"/>
  <c r="DZ14" i="23" s="1"/>
  <c r="EH39" i="23"/>
  <c r="EG39" i="23"/>
  <c r="EQ39" i="23"/>
  <c r="EP39" i="23"/>
  <c r="EO46" i="23"/>
  <c r="EG12" i="23"/>
  <c r="EP12" i="23"/>
  <c r="EQ12" i="23"/>
  <c r="EH12" i="23"/>
  <c r="EO23" i="23"/>
  <c r="EN56" i="23"/>
  <c r="EW56" i="23" s="1"/>
  <c r="EM56" i="23"/>
  <c r="EM18" i="23"/>
  <c r="EN18" i="23"/>
  <c r="EW18" i="23" s="1"/>
  <c r="EN62" i="23"/>
  <c r="EM62" i="23"/>
  <c r="EV53" i="23"/>
  <c r="EO53" i="23"/>
  <c r="EN77" i="23"/>
  <c r="EM77" i="23"/>
  <c r="EO64" i="23"/>
  <c r="EL41" i="23"/>
  <c r="EL23" i="23"/>
  <c r="ER17" i="23"/>
  <c r="EH41" i="23"/>
  <c r="EH19" i="23"/>
  <c r="EQ16" i="23"/>
  <c r="EG78" i="23"/>
  <c r="EJ44" i="23"/>
  <c r="EL44" i="23" s="1"/>
  <c r="EP42" i="23"/>
  <c r="ER42" i="23" s="1"/>
  <c r="EH54" i="23"/>
  <c r="EK43" i="23"/>
  <c r="EL43" i="23" s="1"/>
  <c r="ES20" i="23"/>
  <c r="EU20" i="23" s="1"/>
  <c r="EH63" i="23"/>
  <c r="EU66" i="23"/>
  <c r="EQ68" i="23"/>
  <c r="ER68" i="23" s="1"/>
  <c r="ET81" i="23"/>
  <c r="EH80" i="23"/>
  <c r="EH81" i="23"/>
  <c r="EL15" i="23"/>
  <c r="ES47" i="23"/>
  <c r="EU47" i="23" s="1"/>
  <c r="EN19" i="23"/>
  <c r="EW19" i="23" s="1"/>
  <c r="ES13" i="23"/>
  <c r="EP27" i="23"/>
  <c r="ES28" i="23"/>
  <c r="EU28" i="23" s="1"/>
  <c r="EG17" i="23"/>
  <c r="ES36" i="23"/>
  <c r="EH32" i="23"/>
  <c r="EP46" i="23"/>
  <c r="ES50" i="23"/>
  <c r="EU50" i="23" s="1"/>
  <c r="EG36" i="23"/>
  <c r="EN52" i="23"/>
  <c r="EW52" i="23" s="1"/>
  <c r="EH65" i="23"/>
  <c r="EH38" i="23"/>
  <c r="EL53" i="23"/>
  <c r="EN60" i="23"/>
  <c r="EG62" i="23"/>
  <c r="EH42" i="23"/>
  <c r="EP47" i="23"/>
  <c r="ER47" i="23" s="1"/>
  <c r="EL90" i="23"/>
  <c r="EG80" i="23"/>
  <c r="EQ55" i="23"/>
  <c r="ER55" i="23" s="1"/>
  <c r="EQ30" i="23"/>
  <c r="ER30" i="23" s="1"/>
  <c r="EP69" i="23"/>
  <c r="EW89" i="23"/>
  <c r="ES85" i="23"/>
  <c r="EU85" i="23" s="1"/>
  <c r="EJ83" i="23"/>
  <c r="EL83" i="23" s="1"/>
  <c r="EO26" i="23"/>
  <c r="EM75" i="23"/>
  <c r="EN75" i="23"/>
  <c r="EO70" i="23"/>
  <c r="EQ23" i="23"/>
  <c r="EP23" i="23"/>
  <c r="EH23" i="23"/>
  <c r="EG23" i="23"/>
  <c r="EO15" i="23"/>
  <c r="EO57" i="23"/>
  <c r="EO69" i="23"/>
  <c r="EO47" i="23"/>
  <c r="EO32" i="23"/>
  <c r="EM73" i="23"/>
  <c r="EN73" i="23"/>
  <c r="EO83" i="23"/>
  <c r="EO88" i="23"/>
  <c r="EP15" i="23"/>
  <c r="EQ15" i="23"/>
  <c r="EH15" i="23"/>
  <c r="EG15" i="23"/>
  <c r="EQ18" i="23"/>
  <c r="EH18" i="23"/>
  <c r="EG18" i="23"/>
  <c r="EP18" i="23"/>
  <c r="EN29" i="23"/>
  <c r="EW29" i="23" s="1"/>
  <c r="EM29" i="23"/>
  <c r="EQ56" i="23"/>
  <c r="EH56" i="23"/>
  <c r="EG56" i="23"/>
  <c r="EP56" i="23"/>
  <c r="EN59" i="23"/>
  <c r="EW59" i="23" s="1"/>
  <c r="EM59" i="23"/>
  <c r="EO76" i="23"/>
  <c r="CC16" i="23"/>
  <c r="CP16" i="23" s="1"/>
  <c r="CR16" i="23" s="1"/>
  <c r="CB16" i="23"/>
  <c r="CO16" i="23" s="1"/>
  <c r="CQ16" i="23" s="1"/>
  <c r="DZ16" i="23" s="1"/>
  <c r="EG16" i="23" s="1"/>
  <c r="EJ63" i="23"/>
  <c r="EK63" i="23"/>
  <c r="EQ70" i="23"/>
  <c r="EP70" i="23"/>
  <c r="EG70" i="23"/>
  <c r="EH70" i="23"/>
  <c r="EM81" i="23"/>
  <c r="EN81" i="23"/>
  <c r="EG89" i="23"/>
  <c r="EP89" i="23"/>
  <c r="EH89" i="23"/>
  <c r="EQ89" i="23"/>
  <c r="EG44" i="23"/>
  <c r="EQ44" i="23"/>
  <c r="EP44" i="23"/>
  <c r="EH44" i="23"/>
  <c r="ET57" i="23"/>
  <c r="EW57" i="23" s="1"/>
  <c r="ES57" i="23"/>
  <c r="EV57" i="23" s="1"/>
  <c r="EO28" i="23"/>
  <c r="EO87" i="23"/>
  <c r="EN78" i="23"/>
  <c r="EW78" i="23" s="1"/>
  <c r="EM78" i="23"/>
  <c r="EO89" i="23"/>
  <c r="EP48" i="23"/>
  <c r="EH61" i="23"/>
  <c r="EI61" i="23" s="1"/>
  <c r="EW47" i="23"/>
  <c r="EG68" i="23"/>
  <c r="EQ19" i="23"/>
  <c r="ER19" i="23" s="1"/>
  <c r="EL47" i="23"/>
  <c r="EG46" i="23"/>
  <c r="EG38" i="23"/>
  <c r="EW36" i="23"/>
  <c r="EH62" i="23"/>
  <c r="ET73" i="23"/>
  <c r="EU73" i="23" s="1"/>
  <c r="EW66" i="23"/>
  <c r="ES35" i="23"/>
  <c r="EU35" i="23" s="1"/>
  <c r="ES31" i="23"/>
  <c r="EU31" i="23" s="1"/>
  <c r="EW30" i="23"/>
  <c r="ES37" i="23"/>
  <c r="EU37" i="23" s="1"/>
  <c r="ES17" i="23"/>
  <c r="EV17" i="23" s="1"/>
  <c r="ES39" i="23"/>
  <c r="EU39" i="23" s="1"/>
  <c r="EG63" i="23"/>
  <c r="EL33" i="23"/>
  <c r="EH36" i="23"/>
  <c r="EP65" i="23"/>
  <c r="ER65" i="23" s="1"/>
  <c r="EH24" i="23"/>
  <c r="ES15" i="23"/>
  <c r="EU15" i="23" s="1"/>
  <c r="ES44" i="23"/>
  <c r="EU44" i="23" s="1"/>
  <c r="ES55" i="23"/>
  <c r="EU55" i="23" s="1"/>
  <c r="ES29" i="23"/>
  <c r="EU29" i="23" s="1"/>
  <c r="EK78" i="23"/>
  <c r="EL78" i="23" s="1"/>
  <c r="ER84" i="23"/>
  <c r="EH75" i="23"/>
  <c r="ES83" i="23"/>
  <c r="EU83" i="23" s="1"/>
  <c r="EL49" i="23"/>
  <c r="ES72" i="23"/>
  <c r="EU72" i="23" s="1"/>
  <c r="EJ71" i="23"/>
  <c r="G92" i="5"/>
  <c r="G90" i="5"/>
  <c r="L115" i="5"/>
  <c r="M115" i="5" s="1"/>
  <c r="L117" i="5"/>
  <c r="M117" i="5" s="1"/>
  <c r="L118" i="5"/>
  <c r="M118" i="5" s="1"/>
  <c r="G80" i="5"/>
  <c r="G86" i="5"/>
  <c r="G84" i="5"/>
  <c r="G87" i="5"/>
  <c r="G89" i="5"/>
  <c r="C90" i="5"/>
  <c r="C82" i="5"/>
  <c r="C83" i="5"/>
  <c r="B28" i="8"/>
  <c r="B27" i="8"/>
  <c r="B34" i="8"/>
  <c r="B35" i="8"/>
  <c r="B30" i="8"/>
  <c r="B36" i="8"/>
  <c r="C75" i="10"/>
  <c r="D91" i="10"/>
  <c r="C87" i="5"/>
  <c r="B92" i="5"/>
  <c r="D91" i="5"/>
  <c r="B86" i="5"/>
  <c r="G85" i="5"/>
  <c r="G88" i="5"/>
  <c r="E35" i="4"/>
  <c r="E87" i="5"/>
  <c r="L114" i="5"/>
  <c r="M114" i="5" s="1"/>
  <c r="E36" i="4"/>
  <c r="B330" i="10"/>
  <c r="B100" i="10"/>
  <c r="G91" i="5"/>
  <c r="G82" i="5"/>
  <c r="G135" i="15"/>
  <c r="J135" i="15" s="1"/>
  <c r="G119" i="15"/>
  <c r="J119" i="15" s="1"/>
  <c r="G103" i="15"/>
  <c r="J103" i="15" s="1"/>
  <c r="G87" i="15"/>
  <c r="J87" i="15" s="1"/>
  <c r="G71" i="15"/>
  <c r="J71" i="15" s="1"/>
  <c r="F80" i="5"/>
  <c r="F83" i="5"/>
  <c r="F91" i="5"/>
  <c r="F79" i="5"/>
  <c r="F84" i="5"/>
  <c r="F81" i="5"/>
  <c r="F87" i="5"/>
  <c r="F92" i="5"/>
  <c r="F89" i="5"/>
  <c r="B81" i="5"/>
  <c r="B87" i="5"/>
  <c r="B91" i="5"/>
  <c r="B82" i="5"/>
  <c r="L101" i="7"/>
  <c r="E58" i="7"/>
  <c r="E65" i="7"/>
  <c r="E66" i="7"/>
  <c r="E68" i="7"/>
  <c r="E62" i="7"/>
  <c r="E67" i="7"/>
  <c r="E59" i="7"/>
  <c r="E60" i="7"/>
  <c r="B33" i="8"/>
  <c r="B29" i="8"/>
  <c r="W144" i="10"/>
  <c r="X144" i="10" s="1"/>
  <c r="G147" i="10"/>
  <c r="J147" i="10" s="1"/>
  <c r="G151" i="10"/>
  <c r="J151" i="10" s="1"/>
  <c r="G156" i="10"/>
  <c r="J156" i="10" s="1"/>
  <c r="G142" i="10"/>
  <c r="J142" i="10" s="1"/>
  <c r="G144" i="10"/>
  <c r="J144" i="10" s="1"/>
  <c r="W147" i="10"/>
  <c r="X147" i="10" s="1"/>
  <c r="G154" i="10"/>
  <c r="J154" i="10" s="1"/>
  <c r="W160" i="10"/>
  <c r="X160" i="10" s="1"/>
  <c r="W145" i="10"/>
  <c r="X145" i="10" s="1"/>
  <c r="W149" i="10"/>
  <c r="X149" i="10" s="1"/>
  <c r="G158" i="10"/>
  <c r="J158" i="10" s="1"/>
  <c r="G141" i="10"/>
  <c r="J141" i="10" s="1"/>
  <c r="G152" i="10"/>
  <c r="J152" i="10" s="1"/>
  <c r="G155" i="10"/>
  <c r="J155" i="10" s="1"/>
  <c r="W155" i="10"/>
  <c r="X155" i="10" s="1"/>
  <c r="W156" i="10"/>
  <c r="X156" i="10" s="1"/>
  <c r="W142" i="10"/>
  <c r="X142" i="10" s="1"/>
  <c r="W148" i="10"/>
  <c r="X148" i="10" s="1"/>
  <c r="G160" i="10"/>
  <c r="J160" i="10" s="1"/>
  <c r="W159" i="10"/>
  <c r="X159" i="10" s="1"/>
  <c r="W157" i="10"/>
  <c r="X157" i="10" s="1"/>
  <c r="G150" i="10"/>
  <c r="J150" i="10" s="1"/>
  <c r="W143" i="10"/>
  <c r="X143" i="10" s="1"/>
  <c r="G145" i="10"/>
  <c r="J145" i="10" s="1"/>
  <c r="G149" i="10"/>
  <c r="J149" i="10" s="1"/>
  <c r="G153" i="10"/>
  <c r="J153" i="10" s="1"/>
  <c r="G157" i="10"/>
  <c r="J157" i="10" s="1"/>
  <c r="C102" i="10"/>
  <c r="C333" i="10"/>
  <c r="C331" i="10"/>
  <c r="C340" i="10"/>
  <c r="C99" i="10"/>
  <c r="C330" i="10"/>
  <c r="C100" i="10"/>
  <c r="D323" i="10"/>
  <c r="D321" i="10"/>
  <c r="G125" i="15"/>
  <c r="J125" i="15" s="1"/>
  <c r="G93" i="15"/>
  <c r="J93" i="15" s="1"/>
  <c r="G77" i="15"/>
  <c r="J77" i="15" s="1"/>
  <c r="B90" i="5"/>
  <c r="B84" i="5"/>
  <c r="E82" i="5"/>
  <c r="E89" i="5"/>
  <c r="E90" i="5"/>
  <c r="E92" i="5"/>
  <c r="E91" i="5"/>
  <c r="E86" i="5"/>
  <c r="E20" i="7"/>
  <c r="G51" i="7" s="1"/>
  <c r="G49" i="7"/>
  <c r="B326" i="10"/>
  <c r="B97" i="10"/>
  <c r="B96" i="10"/>
  <c r="B92" i="10"/>
  <c r="B327" i="10"/>
  <c r="B328" i="10"/>
  <c r="B93" i="10"/>
  <c r="B101" i="10"/>
  <c r="B321" i="10"/>
  <c r="B322" i="10"/>
  <c r="B94" i="10"/>
  <c r="B332" i="10"/>
  <c r="D322" i="10"/>
  <c r="G141" i="15"/>
  <c r="J141" i="15" s="1"/>
  <c r="G109" i="15"/>
  <c r="J109" i="15" s="1"/>
  <c r="C76" i="10"/>
  <c r="D93" i="10"/>
  <c r="D339" i="10"/>
  <c r="B333" i="10"/>
  <c r="G44" i="7"/>
  <c r="C85" i="5"/>
  <c r="C81" i="5"/>
  <c r="G81" i="5"/>
  <c r="E88" i="5"/>
  <c r="D89" i="5"/>
  <c r="B331" i="10"/>
  <c r="B102" i="10"/>
  <c r="B99" i="10"/>
  <c r="G83" i="5"/>
  <c r="D39" i="4"/>
  <c r="D36" i="4"/>
  <c r="D34" i="4"/>
  <c r="E83" i="5"/>
  <c r="B32" i="8"/>
  <c r="B325" i="10"/>
  <c r="C339" i="10"/>
  <c r="C92" i="10"/>
  <c r="C322" i="10"/>
  <c r="C91" i="10"/>
  <c r="C93" i="10"/>
  <c r="E32" i="4"/>
  <c r="F30" i="4"/>
  <c r="E40" i="4"/>
  <c r="H82" i="5"/>
  <c r="H81" i="5"/>
  <c r="B61" i="7"/>
  <c r="B62" i="7"/>
  <c r="B64" i="7"/>
  <c r="C33" i="8"/>
  <c r="F123" i="10"/>
  <c r="G123" i="10" s="1"/>
  <c r="F135" i="10"/>
  <c r="G135" i="10" s="1"/>
  <c r="F120" i="10"/>
  <c r="G120" i="10" s="1"/>
  <c r="F129" i="10"/>
  <c r="G129" i="10" s="1"/>
  <c r="F40" i="4"/>
  <c r="B42" i="6"/>
  <c r="B45" i="6"/>
  <c r="B48" i="6"/>
  <c r="B39" i="6"/>
  <c r="B43" i="6"/>
  <c r="B47" i="6"/>
  <c r="C63" i="7"/>
  <c r="C64" i="7"/>
  <c r="C58" i="7"/>
  <c r="C61" i="7"/>
  <c r="C67" i="7"/>
  <c r="C68" i="7"/>
  <c r="C27" i="8"/>
  <c r="D28" i="8"/>
  <c r="D29" i="8"/>
  <c r="C30" i="8"/>
  <c r="C29" i="8"/>
  <c r="D30" i="8"/>
  <c r="C31" i="8"/>
  <c r="D32" i="8"/>
  <c r="D33" i="8"/>
  <c r="D34" i="8"/>
  <c r="C35" i="8"/>
  <c r="D36" i="8"/>
  <c r="D27" i="8"/>
  <c r="C32" i="8"/>
  <c r="C36" i="8"/>
  <c r="E108" i="10"/>
  <c r="F108" i="10"/>
  <c r="F90" i="10" s="1"/>
  <c r="D40" i="6"/>
  <c r="C43" i="6"/>
  <c r="C46" i="6"/>
  <c r="G332" i="10"/>
  <c r="G331" i="10"/>
  <c r="G340" i="10"/>
  <c r="G100" i="10"/>
  <c r="I67" i="10"/>
  <c r="G94" i="10"/>
  <c r="C96" i="10"/>
  <c r="D97" i="10"/>
  <c r="G101" i="10"/>
  <c r="G325" i="10"/>
  <c r="G327" i="10"/>
  <c r="C329" i="10"/>
  <c r="G330" i="10"/>
  <c r="D332" i="10"/>
  <c r="AV11" i="23"/>
  <c r="DJ11" i="23"/>
  <c r="BZ11" i="23"/>
  <c r="BO11" i="23"/>
  <c r="CG11" i="23"/>
  <c r="BG11" i="23"/>
  <c r="BW11" i="23"/>
  <c r="DY11" i="23" s="1"/>
  <c r="BP11" i="23"/>
  <c r="DD11" i="23"/>
  <c r="DF11" i="23" s="1"/>
  <c r="DG11" i="23" s="1"/>
  <c r="BH11" i="23"/>
  <c r="BB11" i="23"/>
  <c r="BE11" i="23" s="1"/>
  <c r="BF11" i="23" s="1"/>
  <c r="DV11" i="23" s="1"/>
  <c r="DK11" i="23"/>
  <c r="DR11" i="23"/>
  <c r="CA11" i="23"/>
  <c r="CB11" i="23" s="1"/>
  <c r="CO11" i="23" s="1"/>
  <c r="CQ11" i="23" s="1"/>
  <c r="DZ11" i="23" s="1"/>
  <c r="DQ11" i="23"/>
  <c r="CT11" i="23"/>
  <c r="CU11" i="23"/>
  <c r="CF11" i="23"/>
  <c r="CH11" i="23" s="1"/>
  <c r="AW11" i="23"/>
  <c r="DI11" i="23"/>
  <c r="ER52" i="23" l="1"/>
  <c r="EO66" i="23"/>
  <c r="EI57" i="23"/>
  <c r="EL21" i="23"/>
  <c r="G45" i="7"/>
  <c r="EL28" i="23"/>
  <c r="EW20" i="23"/>
  <c r="EL57" i="23"/>
  <c r="ER61" i="23"/>
  <c r="EL70" i="23"/>
  <c r="ER60" i="23"/>
  <c r="EO12" i="23"/>
  <c r="EW70" i="23"/>
  <c r="ER12" i="23"/>
  <c r="ER28" i="23"/>
  <c r="EV43" i="23"/>
  <c r="EL38" i="23"/>
  <c r="ER62" i="23"/>
  <c r="G43" i="7"/>
  <c r="EL71" i="23"/>
  <c r="ER48" i="23"/>
  <c r="ER69" i="23"/>
  <c r="ER46" i="23"/>
  <c r="EG58" i="23"/>
  <c r="EV46" i="23"/>
  <c r="EX46" i="23" s="1"/>
  <c r="ER88" i="23"/>
  <c r="EW12" i="23"/>
  <c r="EV22" i="23"/>
  <c r="EU70" i="23"/>
  <c r="EU23" i="23"/>
  <c r="EL34" i="23"/>
  <c r="EL66" i="23"/>
  <c r="G53" i="7"/>
  <c r="EU13" i="23"/>
  <c r="EW13" i="23"/>
  <c r="G50" i="7"/>
  <c r="EI46" i="23"/>
  <c r="EL63" i="23"/>
  <c r="EO50" i="23"/>
  <c r="ER49" i="23"/>
  <c r="EL32" i="23"/>
  <c r="EW22" i="23"/>
  <c r="ER79" i="23"/>
  <c r="EW82" i="23"/>
  <c r="EU61" i="23"/>
  <c r="EO82" i="23"/>
  <c r="EV66" i="23"/>
  <c r="EX66" i="23" s="1"/>
  <c r="EO90" i="23"/>
  <c r="EU81" i="23"/>
  <c r="EW53" i="23"/>
  <c r="EX53" i="23" s="1"/>
  <c r="EI21" i="23"/>
  <c r="EV51" i="23"/>
  <c r="EX51" i="23" s="1"/>
  <c r="EV69" i="23"/>
  <c r="EX69" i="23" s="1"/>
  <c r="EV52" i="23"/>
  <c r="EX52" i="23" s="1"/>
  <c r="EI74" i="23"/>
  <c r="EI20" i="23"/>
  <c r="EW74" i="23"/>
  <c r="EX74" i="23" s="1"/>
  <c r="EV32" i="23"/>
  <c r="EX32" i="23" s="1"/>
  <c r="EI17" i="23"/>
  <c r="EV67" i="23"/>
  <c r="EX67" i="23" s="1"/>
  <c r="EI48" i="23"/>
  <c r="EV23" i="23"/>
  <c r="EX23" i="23" s="1"/>
  <c r="EI41" i="23"/>
  <c r="EI91" i="23"/>
  <c r="EI58" i="23"/>
  <c r="EI72" i="23"/>
  <c r="EU62" i="23"/>
  <c r="EI90" i="23"/>
  <c r="EV28" i="23"/>
  <c r="EX28" i="23" s="1"/>
  <c r="EV84" i="23"/>
  <c r="EX84" i="23" s="1"/>
  <c r="EI42" i="23"/>
  <c r="EV85" i="23"/>
  <c r="EX85" i="23" s="1"/>
  <c r="EI83" i="23"/>
  <c r="EI52" i="23"/>
  <c r="EV54" i="23"/>
  <c r="EX54" i="23" s="1"/>
  <c r="EV47" i="23"/>
  <c r="EX47" i="23" s="1"/>
  <c r="EI64" i="23"/>
  <c r="EI65" i="23"/>
  <c r="EV90" i="23"/>
  <c r="EX90" i="23" s="1"/>
  <c r="EV63" i="23"/>
  <c r="EV40" i="23"/>
  <c r="EX40" i="23" s="1"/>
  <c r="EV89" i="23"/>
  <c r="EX89" i="23" s="1"/>
  <c r="EV88" i="23"/>
  <c r="EX88" i="23" s="1"/>
  <c r="EV38" i="23"/>
  <c r="EX38" i="23" s="1"/>
  <c r="EV31" i="23"/>
  <c r="EX31" i="23" s="1"/>
  <c r="EV64" i="23"/>
  <c r="EX64" i="23" s="1"/>
  <c r="EI59" i="23"/>
  <c r="EV70" i="23"/>
  <c r="EW62" i="23"/>
  <c r="EI84" i="23"/>
  <c r="EV37" i="23"/>
  <c r="EX37" i="23" s="1"/>
  <c r="EI33" i="23"/>
  <c r="EV82" i="23"/>
  <c r="EI40" i="23"/>
  <c r="EV35" i="23"/>
  <c r="EX35" i="23" s="1"/>
  <c r="EV50" i="23"/>
  <c r="EX50" i="23" s="1"/>
  <c r="EV19" i="23"/>
  <c r="EX19" i="23" s="1"/>
  <c r="EV55" i="23"/>
  <c r="EX55" i="23" s="1"/>
  <c r="EV65" i="23"/>
  <c r="EX65" i="23" s="1"/>
  <c r="EV83" i="23"/>
  <c r="EX83" i="23" s="1"/>
  <c r="EV15" i="23"/>
  <c r="EX15" i="23" s="1"/>
  <c r="EH16" i="23"/>
  <c r="EI16" i="23" s="1"/>
  <c r="EV72" i="23"/>
  <c r="EX72" i="23" s="1"/>
  <c r="EU43" i="23"/>
  <c r="EU48" i="23"/>
  <c r="EV48" i="23"/>
  <c r="EX48" i="23" s="1"/>
  <c r="EU71" i="23"/>
  <c r="EV71" i="23"/>
  <c r="EX71" i="23" s="1"/>
  <c r="EV86" i="23"/>
  <c r="EX86" i="23" s="1"/>
  <c r="EV33" i="23"/>
  <c r="EX33" i="23" s="1"/>
  <c r="EI28" i="23"/>
  <c r="EW43" i="23"/>
  <c r="EX43" i="23" s="1"/>
  <c r="EU87" i="23"/>
  <c r="EI45" i="23"/>
  <c r="EI70" i="23"/>
  <c r="EI19" i="23"/>
  <c r="EU25" i="23"/>
  <c r="EU36" i="23"/>
  <c r="EV36" i="23"/>
  <c r="EX36" i="23" s="1"/>
  <c r="EV39" i="23"/>
  <c r="EX39" i="23" s="1"/>
  <c r="EX76" i="23"/>
  <c r="EW73" i="23"/>
  <c r="EV26" i="23"/>
  <c r="EX26" i="23" s="1"/>
  <c r="EI27" i="23"/>
  <c r="EV41" i="23"/>
  <c r="EX41" i="23" s="1"/>
  <c r="EI47" i="23"/>
  <c r="EV30" i="23"/>
  <c r="EX30" i="23" s="1"/>
  <c r="EV79" i="23"/>
  <c r="EX79" i="23" s="1"/>
  <c r="EO43" i="23"/>
  <c r="EV58" i="23"/>
  <c r="EX58" i="23" s="1"/>
  <c r="EX87" i="23"/>
  <c r="EI38" i="23"/>
  <c r="ER67" i="23"/>
  <c r="ER34" i="23"/>
  <c r="EI13" i="23"/>
  <c r="EI39" i="23"/>
  <c r="EI26" i="23"/>
  <c r="EI56" i="23"/>
  <c r="EI63" i="23"/>
  <c r="EW63" i="23"/>
  <c r="EO38" i="23"/>
  <c r="EO19" i="23"/>
  <c r="EI77" i="23"/>
  <c r="EI69" i="23"/>
  <c r="EI73" i="23"/>
  <c r="EV20" i="23"/>
  <c r="EO20" i="23"/>
  <c r="EI24" i="23"/>
  <c r="EI37" i="23"/>
  <c r="EI55" i="23"/>
  <c r="EI25" i="23"/>
  <c r="EI79" i="23"/>
  <c r="EI51" i="23"/>
  <c r="EI78" i="23"/>
  <c r="EI82" i="23"/>
  <c r="ER29" i="23"/>
  <c r="ER51" i="23"/>
  <c r="EI22" i="23"/>
  <c r="ER44" i="23"/>
  <c r="EI18" i="23"/>
  <c r="ER39" i="23"/>
  <c r="EI87" i="23"/>
  <c r="EI43" i="23"/>
  <c r="ER18" i="23"/>
  <c r="EI54" i="23"/>
  <c r="EI76" i="23"/>
  <c r="ER35" i="23"/>
  <c r="EI50" i="23"/>
  <c r="EI89" i="23"/>
  <c r="ER15" i="23"/>
  <c r="ER73" i="23"/>
  <c r="ER36" i="23"/>
  <c r="ER13" i="23"/>
  <c r="EI85" i="23"/>
  <c r="EI75" i="23"/>
  <c r="ER76" i="23"/>
  <c r="EI81" i="23"/>
  <c r="EI30" i="23"/>
  <c r="EI71" i="23"/>
  <c r="EO81" i="23"/>
  <c r="EV81" i="23"/>
  <c r="EO75" i="23"/>
  <c r="EV75" i="23"/>
  <c r="EV77" i="23"/>
  <c r="EO77" i="23"/>
  <c r="EV56" i="23"/>
  <c r="EX56" i="23" s="1"/>
  <c r="EO56" i="23"/>
  <c r="EO42" i="23"/>
  <c r="EV42" i="23"/>
  <c r="EX42" i="23" s="1"/>
  <c r="EV18" i="23"/>
  <c r="EX18" i="23" s="1"/>
  <c r="EO18" i="23"/>
  <c r="EI44" i="23"/>
  <c r="EW60" i="23"/>
  <c r="EX60" i="23" s="1"/>
  <c r="ER53" i="23"/>
  <c r="EO54" i="23"/>
  <c r="EO52" i="23"/>
  <c r="EO60" i="23"/>
  <c r="EU17" i="23"/>
  <c r="EW81" i="23"/>
  <c r="ER56" i="23"/>
  <c r="EW75" i="23"/>
  <c r="EI62" i="23"/>
  <c r="EI36" i="23"/>
  <c r="ER27" i="23"/>
  <c r="EI53" i="23"/>
  <c r="EI34" i="23"/>
  <c r="ER66" i="23"/>
  <c r="EL25" i="23"/>
  <c r="ER87" i="23"/>
  <c r="ER26" i="23"/>
  <c r="ER43" i="23"/>
  <c r="EU77" i="23"/>
  <c r="EU22" i="23"/>
  <c r="EV13" i="23"/>
  <c r="EO13" i="23"/>
  <c r="EO91" i="23"/>
  <c r="EV91" i="23"/>
  <c r="EX91" i="23" s="1"/>
  <c r="EO29" i="23"/>
  <c r="EV29" i="23"/>
  <c r="EX29" i="23" s="1"/>
  <c r="EV34" i="23"/>
  <c r="EX34" i="23" s="1"/>
  <c r="EO34" i="23"/>
  <c r="EV21" i="23"/>
  <c r="EX21" i="23" s="1"/>
  <c r="EO21" i="23"/>
  <c r="EU60" i="23"/>
  <c r="EU24" i="23"/>
  <c r="ER16" i="23"/>
  <c r="EU27" i="23"/>
  <c r="EI86" i="23"/>
  <c r="EU80" i="23"/>
  <c r="EI29" i="23"/>
  <c r="EX24" i="23"/>
  <c r="EI35" i="23"/>
  <c r="EU75" i="23"/>
  <c r="ER71" i="23"/>
  <c r="EU57" i="23"/>
  <c r="ER89" i="23"/>
  <c r="ER70" i="23"/>
  <c r="ER23" i="23"/>
  <c r="EI12" i="23"/>
  <c r="EI88" i="23"/>
  <c r="ER82" i="23"/>
  <c r="EX17" i="23"/>
  <c r="EO37" i="23"/>
  <c r="EW61" i="23"/>
  <c r="EX61" i="23" s="1"/>
  <c r="EX27" i="23"/>
  <c r="ER31" i="23"/>
  <c r="EL72" i="23"/>
  <c r="EX12" i="23"/>
  <c r="EO35" i="23"/>
  <c r="EV78" i="23"/>
  <c r="EX78" i="23" s="1"/>
  <c r="EO78" i="23"/>
  <c r="EV68" i="23"/>
  <c r="EX68" i="23" s="1"/>
  <c r="EO68" i="23"/>
  <c r="EO73" i="23"/>
  <c r="EV73" i="23"/>
  <c r="ET14" i="23"/>
  <c r="EW14" i="23" s="1"/>
  <c r="EG14" i="23"/>
  <c r="ES14" i="23"/>
  <c r="EV14" i="23" s="1"/>
  <c r="EH14" i="23"/>
  <c r="ET49" i="23"/>
  <c r="EW49" i="23" s="1"/>
  <c r="ES49" i="23"/>
  <c r="EV49" i="23" s="1"/>
  <c r="EH49" i="23"/>
  <c r="EG49" i="23"/>
  <c r="EO44" i="23"/>
  <c r="EV44" i="23"/>
  <c r="EX44" i="23" s="1"/>
  <c r="EI68" i="23"/>
  <c r="EI80" i="23"/>
  <c r="EX80" i="23"/>
  <c r="ER37" i="23"/>
  <c r="EX25" i="23"/>
  <c r="ER85" i="23"/>
  <c r="EO59" i="23"/>
  <c r="EV59" i="23"/>
  <c r="EX59" i="23" s="1"/>
  <c r="EV45" i="23"/>
  <c r="EX45" i="23" s="1"/>
  <c r="EO45" i="23"/>
  <c r="EO62" i="23"/>
  <c r="EV62" i="23"/>
  <c r="ET16" i="23"/>
  <c r="EW16" i="23" s="1"/>
  <c r="ES16" i="23"/>
  <c r="EV16" i="23" s="1"/>
  <c r="EX57" i="23"/>
  <c r="EI31" i="23"/>
  <c r="EI15" i="23"/>
  <c r="EI23" i="23"/>
  <c r="EW77" i="23"/>
  <c r="EI67" i="23"/>
  <c r="EI32" i="23"/>
  <c r="EX22" i="23"/>
  <c r="EL62" i="23"/>
  <c r="EU12" i="23"/>
  <c r="EU76" i="23"/>
  <c r="F339" i="10"/>
  <c r="F91" i="10"/>
  <c r="F321" i="10"/>
  <c r="F322" i="10"/>
  <c r="F92" i="10"/>
  <c r="F323" i="10"/>
  <c r="F93" i="10"/>
  <c r="F324" i="10"/>
  <c r="E91" i="10"/>
  <c r="E324" i="10"/>
  <c r="E339" i="10"/>
  <c r="E321" i="10"/>
  <c r="E93" i="10"/>
  <c r="E90" i="10"/>
  <c r="E92" i="10"/>
  <c r="E322" i="10"/>
  <c r="E323" i="10"/>
  <c r="G47" i="7"/>
  <c r="F20" i="7"/>
  <c r="G46" i="7"/>
  <c r="G52" i="7"/>
  <c r="F13" i="7"/>
  <c r="G48" i="7"/>
  <c r="AZ11" i="23"/>
  <c r="DU11" i="23" s="1"/>
  <c r="DN11" i="23"/>
  <c r="DO11" i="23" s="1"/>
  <c r="DP11" i="23" s="1"/>
  <c r="EE11" i="23" s="1"/>
  <c r="CZ11" i="23"/>
  <c r="EB11" i="23" s="1"/>
  <c r="EK11" i="23" s="1"/>
  <c r="BN11" i="23"/>
  <c r="DW11" i="23" s="1"/>
  <c r="EM11" i="23"/>
  <c r="DT11" i="23"/>
  <c r="EF11" i="23" s="1"/>
  <c r="CC11" i="23"/>
  <c r="CP11" i="23" s="1"/>
  <c r="CR11" i="23" s="1"/>
  <c r="EN11" i="23"/>
  <c r="BS11" i="23"/>
  <c r="CI11" i="23"/>
  <c r="EX70" i="23" l="1"/>
  <c r="EX13" i="23"/>
  <c r="EX20" i="23"/>
  <c r="EX82" i="23"/>
  <c r="EX73" i="23"/>
  <c r="EX63" i="23"/>
  <c r="EX49" i="23"/>
  <c r="EX62" i="23"/>
  <c r="EX16" i="23"/>
  <c r="EX14" i="23"/>
  <c r="EX75" i="23"/>
  <c r="EX81" i="23"/>
  <c r="EI49" i="23"/>
  <c r="EI14" i="23"/>
  <c r="EU16" i="23"/>
  <c r="EU14" i="23"/>
  <c r="EU49" i="23"/>
  <c r="EX77" i="23"/>
  <c r="G67" i="7"/>
  <c r="G62" i="7"/>
  <c r="G64" i="7"/>
  <c r="G58" i="7"/>
  <c r="G66" i="7"/>
  <c r="G61" i="7"/>
  <c r="G59" i="7"/>
  <c r="G68" i="7"/>
  <c r="G63" i="7"/>
  <c r="G60" i="7"/>
  <c r="G65" i="7"/>
  <c r="EH11" i="23"/>
  <c r="EJ11" i="23"/>
  <c r="EL11" i="23" s="1"/>
  <c r="EG11" i="23"/>
  <c r="EO11" i="23"/>
  <c r="EP11" i="23"/>
  <c r="EQ11" i="23"/>
  <c r="ET11" i="23"/>
  <c r="EW11" i="23" s="1"/>
  <c r="ES11" i="23"/>
  <c r="EV11" i="23" s="1"/>
  <c r="EX11" i="23" l="1"/>
  <c r="ER11" i="23"/>
  <c r="EI11" i="23"/>
  <c r="EU11" i="23"/>
</calcChain>
</file>

<file path=xl/comments1.xml><?xml version="1.0" encoding="utf-8"?>
<comments xmlns="http://schemas.openxmlformats.org/spreadsheetml/2006/main">
  <authors>
    <author>Andrews/Williams</author>
    <author>Diane Stott</author>
    <author>Andrews</author>
    <author>Susan Andrews</author>
    <author>Susan S. Andrews</author>
  </authors>
  <commentList>
    <comment ref="AH9" authorId="0" shapeId="0">
      <text/>
    </comment>
    <comment ref="G10" authorId="1" shapeId="0">
      <text>
        <r>
          <rPr>
            <b/>
            <sz val="9"/>
            <color indexed="81"/>
            <rFont val="Tahoma"/>
            <family val="2"/>
          </rPr>
          <t>Diane Stott:</t>
        </r>
        <r>
          <rPr>
            <sz val="9"/>
            <color indexed="81"/>
            <rFont val="Tahoma"/>
            <family val="2"/>
          </rPr>
          <t xml:space="preserve">
F=Furrow
SCP=Sprinkler (Center Pivot)
SWL=Sprinkler (Wheel Line)</t>
        </r>
      </text>
    </comment>
    <comment ref="H10" authorId="1" shapeId="0">
      <text>
        <r>
          <rPr>
            <b/>
            <sz val="9"/>
            <color indexed="81"/>
            <rFont val="Tahoma"/>
            <family val="2"/>
          </rPr>
          <t>Diane Stott:</t>
        </r>
        <r>
          <rPr>
            <sz val="9"/>
            <color indexed="81"/>
            <rFont val="Tahoma"/>
            <family val="2"/>
          </rPr>
          <t xml:space="preserve">
T=Top
B=Bottom</t>
        </r>
      </text>
    </comment>
    <comment ref="I10" authorId="1" shapeId="0">
      <text>
        <r>
          <rPr>
            <b/>
            <sz val="9"/>
            <color indexed="81"/>
            <rFont val="Tahoma"/>
            <family val="2"/>
          </rPr>
          <t>Diane Stott:</t>
        </r>
        <r>
          <rPr>
            <sz val="9"/>
            <color indexed="81"/>
            <rFont val="Tahoma"/>
            <family val="2"/>
          </rPr>
          <t xml:space="preserve">
frw=Furrow sho=Shoulder bed=Bed</t>
        </r>
      </text>
    </comment>
    <comment ref="J10" authorId="1" shapeId="0">
      <text>
        <r>
          <rPr>
            <b/>
            <sz val="9"/>
            <color indexed="81"/>
            <rFont val="Tahoma"/>
            <family val="2"/>
          </rPr>
          <t>Diane Stott:</t>
        </r>
        <r>
          <rPr>
            <sz val="9"/>
            <color indexed="81"/>
            <rFont val="Tahoma"/>
            <family val="2"/>
          </rPr>
          <t xml:space="preserve">
1=0-5 cm
2=5-15 cm</t>
        </r>
      </text>
    </comment>
    <comment ref="V10" authorId="2" shapeId="0">
      <text>
        <r>
          <rPr>
            <b/>
            <sz val="8"/>
            <color indexed="81"/>
            <rFont val="Tahoma"/>
            <family val="2"/>
          </rPr>
          <t>Andrews:</t>
        </r>
        <r>
          <rPr>
            <sz val="8"/>
            <color indexed="81"/>
            <rFont val="Tahoma"/>
            <family val="2"/>
          </rPr>
          <t xml:space="preserve">
ENTER YOUR DATA HERE. DO NOT CHANGE COLUMN ORDER (unless proficient in EXCEL) because these columns are linked to algorithms in subsequent columns of this worksheet.</t>
        </r>
      </text>
    </comment>
    <comment ref="AH10" authorId="0" shapeId="0">
      <text>
        <r>
          <rPr>
            <b/>
            <sz val="9"/>
            <color indexed="81"/>
            <rFont val="Geneva"/>
          </rPr>
          <t xml:space="preserve">Required field for  TOC, AGG, MBC, PMN, BG, test P,  and AWC </t>
        </r>
        <r>
          <rPr>
            <sz val="9"/>
            <color indexed="81"/>
            <rFont val="Geneva"/>
          </rPr>
          <t xml:space="preserve">
</t>
        </r>
        <r>
          <rPr>
            <b/>
            <sz val="9"/>
            <color indexed="81"/>
            <rFont val="Geneva"/>
          </rPr>
          <t xml:space="preserve">interpretations.
</t>
        </r>
        <r>
          <rPr>
            <sz val="9"/>
            <color indexed="81"/>
            <rFont val="Geneva"/>
          </rPr>
          <t>There are 4 inherent OM classes.</t>
        </r>
      </text>
    </comment>
    <comment ref="AI10" authorId="0" shapeId="0">
      <text>
        <r>
          <rPr>
            <b/>
            <sz val="9"/>
            <color indexed="81"/>
            <rFont val="Geneva"/>
          </rPr>
          <t>Required field for: TOC, AGG,  PMN, MBC, BG, BD, qCO</t>
        </r>
        <r>
          <rPr>
            <b/>
            <vertAlign val="subscript"/>
            <sz val="9"/>
            <color indexed="81"/>
            <rFont val="Geneva"/>
          </rPr>
          <t>2</t>
        </r>
        <r>
          <rPr>
            <b/>
            <sz val="9"/>
            <color indexed="81"/>
            <rFont val="Geneva"/>
          </rPr>
          <t xml:space="preserve">, test P, EC and AWC. </t>
        </r>
        <r>
          <rPr>
            <sz val="9"/>
            <color indexed="81"/>
            <rFont val="Geneva"/>
          </rPr>
          <t xml:space="preserve">
There are 5 soil texture classes.</t>
        </r>
      </text>
    </comment>
    <comment ref="AK10" authorId="0" shapeId="0">
      <text>
        <r>
          <rPr>
            <b/>
            <sz val="9"/>
            <color indexed="81"/>
            <rFont val="Geneva"/>
          </rPr>
          <t>Required field for TOC, MBC, BG, PMN interpretations.</t>
        </r>
        <r>
          <rPr>
            <sz val="9"/>
            <color indexed="81"/>
            <rFont val="Geneva"/>
          </rPr>
          <t xml:space="preserve">
There are 4 climate classes.</t>
        </r>
      </text>
    </comment>
    <comment ref="AL10" authorId="0" shapeId="0">
      <text>
        <r>
          <rPr>
            <b/>
            <sz val="9"/>
            <color indexed="81"/>
            <rFont val="Geneva"/>
          </rPr>
          <t>Required field for AGG interpretations.</t>
        </r>
        <r>
          <rPr>
            <sz val="9"/>
            <color indexed="81"/>
            <rFont val="Geneva"/>
          </rPr>
          <t xml:space="preserve">
There are 2 Fe</t>
        </r>
        <r>
          <rPr>
            <vertAlign val="subscript"/>
            <sz val="9"/>
            <color indexed="81"/>
            <rFont val="Geneva"/>
          </rPr>
          <t>2</t>
        </r>
        <r>
          <rPr>
            <sz val="9"/>
            <color indexed="81"/>
            <rFont val="Geneva"/>
          </rPr>
          <t>O</t>
        </r>
        <r>
          <rPr>
            <vertAlign val="subscript"/>
            <sz val="9"/>
            <color indexed="81"/>
            <rFont val="Geneva"/>
          </rPr>
          <t>3</t>
        </r>
        <r>
          <rPr>
            <sz val="9"/>
            <color indexed="81"/>
            <rFont val="Geneva"/>
          </rPr>
          <t xml:space="preserve"> classes.</t>
        </r>
      </text>
    </comment>
    <comment ref="AM10" authorId="0" shapeId="0">
      <text>
        <r>
          <rPr>
            <b/>
            <sz val="9"/>
            <color indexed="81"/>
            <rFont val="Geneva"/>
          </rPr>
          <t>Required field for MBC interpretations</t>
        </r>
        <r>
          <rPr>
            <sz val="9"/>
            <color indexed="81"/>
            <rFont val="Geneva"/>
          </rPr>
          <t xml:space="preserve">
There are 4 season codes.</t>
        </r>
      </text>
    </comment>
    <comment ref="AN10" authorId="3" shapeId="0">
      <text>
        <r>
          <rPr>
            <b/>
            <sz val="9"/>
            <color indexed="81"/>
            <rFont val="Geneva"/>
          </rPr>
          <t>Required for BD interpretation.</t>
        </r>
        <r>
          <rPr>
            <sz val="9"/>
            <color indexed="81"/>
            <rFont val="Geneva"/>
          </rPr>
          <t xml:space="preserve">
There are 3 mineral classes (0-2).</t>
        </r>
      </text>
    </comment>
    <comment ref="AO10" authorId="3" shapeId="0">
      <text>
        <r>
          <rPr>
            <b/>
            <sz val="9"/>
            <color indexed="81"/>
            <rFont val="Geneva"/>
          </rPr>
          <t xml:space="preserve">Required for AWC interpretation
</t>
        </r>
        <r>
          <rPr>
            <sz val="9"/>
            <color indexed="81"/>
            <rFont val="Geneva"/>
          </rPr>
          <t xml:space="preserve">There are 2 region codes.
</t>
        </r>
      </text>
    </comment>
    <comment ref="AP10" authorId="3" shapeId="0">
      <text>
        <r>
          <rPr>
            <b/>
            <sz val="9"/>
            <color indexed="81"/>
            <rFont val="Geneva"/>
          </rPr>
          <t xml:space="preserve">Required for test P and pH interpretations.
</t>
        </r>
        <r>
          <rPr>
            <sz val="9"/>
            <color indexed="81"/>
            <rFont val="Geneva"/>
          </rPr>
          <t>There are many crop codes. Not all are included in these materials.</t>
        </r>
        <r>
          <rPr>
            <b/>
            <sz val="9"/>
            <color indexed="81"/>
            <rFont val="Geneva"/>
          </rPr>
          <t xml:space="preserve">
</t>
        </r>
        <r>
          <rPr>
            <sz val="9"/>
            <color indexed="81"/>
            <rFont val="Geneva"/>
          </rPr>
          <t xml:space="preserve">
</t>
        </r>
      </text>
    </comment>
    <comment ref="AQ10" authorId="3" shapeId="0">
      <text>
        <r>
          <rPr>
            <b/>
            <sz val="9"/>
            <color indexed="81"/>
            <rFont val="Geneva"/>
          </rPr>
          <t xml:space="preserve">Required for EC interpretation. </t>
        </r>
        <r>
          <rPr>
            <sz val="9"/>
            <color indexed="81"/>
            <rFont val="Geneva"/>
          </rPr>
          <t>Refers back to the crop codes but considers all crops in the rotation. The code for the crop with the lowest threshold (or salt tolerance) should be entered here.</t>
        </r>
        <r>
          <rPr>
            <b/>
            <sz val="9"/>
            <color indexed="81"/>
            <rFont val="Geneva"/>
          </rPr>
          <t xml:space="preserve">
</t>
        </r>
        <r>
          <rPr>
            <sz val="9"/>
            <color indexed="81"/>
            <rFont val="Geneva"/>
          </rPr>
          <t xml:space="preserve">
</t>
        </r>
      </text>
    </comment>
    <comment ref="AR10" authorId="3" shapeId="0">
      <text>
        <r>
          <rPr>
            <b/>
            <sz val="9"/>
            <color indexed="81"/>
            <rFont val="Geneva"/>
          </rPr>
          <t xml:space="preserve">Required for test P interpretation.
</t>
        </r>
        <r>
          <rPr>
            <sz val="9"/>
            <color indexed="81"/>
            <rFont val="Geneva"/>
          </rPr>
          <t>There are 5 slope classes.</t>
        </r>
      </text>
    </comment>
    <comment ref="AS10" authorId="3" shapeId="0">
      <text>
        <r>
          <rPr>
            <b/>
            <sz val="9"/>
            <color indexed="81"/>
            <rFont val="Geneva"/>
          </rPr>
          <t xml:space="preserve">Required for test P interpretation.
</t>
        </r>
        <r>
          <rPr>
            <sz val="9"/>
            <color indexed="81"/>
            <rFont val="Geneva"/>
          </rPr>
          <t>There are 6 P method codes.nnnnnnnnnnnnnnmmmmm</t>
        </r>
      </text>
    </comment>
    <comment ref="AT10" authorId="3" shapeId="0">
      <text>
        <r>
          <rPr>
            <b/>
            <sz val="9"/>
            <color indexed="81"/>
            <rFont val="Geneva"/>
          </rPr>
          <t>Required for test P interpretation.</t>
        </r>
        <r>
          <rPr>
            <sz val="9"/>
            <color indexed="81"/>
            <rFont val="Geneva"/>
          </rPr>
          <t xml:space="preserve">
There are 3 weathering classes.</t>
        </r>
      </text>
    </comment>
    <comment ref="AU10" authorId="4" shapeId="0">
      <text>
        <r>
          <rPr>
            <b/>
            <sz val="8"/>
            <color indexed="81"/>
            <rFont val="Tahoma"/>
            <family val="2"/>
          </rPr>
          <t xml:space="preserve">Required for EC interpretation.
</t>
        </r>
        <r>
          <rPr>
            <sz val="8"/>
            <color indexed="81"/>
            <rFont val="Tahoma"/>
            <family val="2"/>
          </rPr>
          <t>There are 2 EC method codes.</t>
        </r>
      </text>
    </comment>
    <comment ref="AY10" authorId="0" shapeId="0">
      <text>
        <r>
          <rPr>
            <sz val="9"/>
            <color indexed="81"/>
            <rFont val="Geneva"/>
          </rPr>
          <t xml:space="preserve">The data in this column is brought in from the enter TOC data column- it should exactly match your entered data.
</t>
        </r>
      </text>
    </comment>
    <comment ref="BD10" authorId="0" shapeId="0">
      <text>
        <r>
          <rPr>
            <sz val="9"/>
            <color indexed="81"/>
            <rFont val="Geneva"/>
          </rPr>
          <t xml:space="preserve">The data in this column is brought in from the enter AGG data column- it should exactly match your entered data.
</t>
        </r>
      </text>
    </comment>
    <comment ref="BM10" authorId="0" shapeId="0">
      <text>
        <r>
          <rPr>
            <sz val="9"/>
            <color indexed="81"/>
            <rFont val="Geneva"/>
          </rPr>
          <t>The data in this column is brought in from the enter MBC data column- it should exactly match your entered data.</t>
        </r>
      </text>
    </comment>
    <comment ref="BR10" authorId="0" shapeId="0">
      <text>
        <r>
          <rPr>
            <sz val="9"/>
            <color indexed="81"/>
            <rFont val="Geneva"/>
          </rPr>
          <t>The data in this column is brought in from the enter PMN data column- it should exactly match your entered data.</t>
        </r>
      </text>
    </comment>
    <comment ref="BT10" authorId="0" shapeId="0">
      <text>
        <r>
          <rPr>
            <b/>
            <sz val="9"/>
            <color indexed="81"/>
            <rFont val="Geneva"/>
          </rPr>
          <t>Not all crop codes are entered here. Either alter the logic statement to include the needed code or replace the statement with the optimum pH for each crop. See the pH worksheet for more information.</t>
        </r>
        <r>
          <rPr>
            <sz val="9"/>
            <color indexed="81"/>
            <rFont val="Geneva"/>
          </rPr>
          <t xml:space="preserve">
</t>
        </r>
      </text>
    </comment>
    <comment ref="BU10" authorId="0" shapeId="0">
      <text>
        <r>
          <rPr>
            <b/>
            <sz val="9"/>
            <color indexed="81"/>
            <rFont val="Geneva"/>
          </rPr>
          <t>Not all crop codes are entered here. Either alter the logic statement to include the needed code or replace the statement with the a value that represents the range of pH values for each crop, such that: pH optimum +/- pH diff= acceptable pH range. See the pH worksheet for more information.</t>
        </r>
        <r>
          <rPr>
            <sz val="9"/>
            <color indexed="81"/>
            <rFont val="Geneva"/>
          </rPr>
          <t xml:space="preserve">
vookup table created, if you add crops, be sonsitent with pH, EC and P.
Consider vlookup tab later.</t>
        </r>
      </text>
    </comment>
    <comment ref="BV10" authorId="0" shapeId="0">
      <text>
        <r>
          <rPr>
            <sz val="9"/>
            <color indexed="81"/>
            <rFont val="Geneva"/>
          </rPr>
          <t>The data in this column is brought in from the enter pH data column- it should exactly match your entered data.</t>
        </r>
      </text>
    </comment>
    <comment ref="CB10" authorId="3" shapeId="0">
      <text>
        <r>
          <rPr>
            <b/>
            <sz val="9"/>
            <color indexed="81"/>
            <rFont val="Geneva"/>
          </rPr>
          <t>The value in this column is derived from the measured TOC, when available. It is used to calculate the P</t>
        </r>
        <r>
          <rPr>
            <b/>
            <vertAlign val="subscript"/>
            <sz val="9"/>
            <color indexed="81"/>
            <rFont val="Geneva"/>
          </rPr>
          <t>TOC</t>
        </r>
        <r>
          <rPr>
            <b/>
            <sz val="9"/>
            <color indexed="81"/>
            <rFont val="Geneva"/>
          </rPr>
          <t xml:space="preserve"> scor </t>
        </r>
        <r>
          <rPr>
            <sz val="9"/>
            <color indexed="81"/>
            <rFont val="Geneva"/>
          </rPr>
          <t xml:space="preserve">
</t>
        </r>
      </text>
    </comment>
    <comment ref="CC10" authorId="3" shapeId="0">
      <text>
        <r>
          <rPr>
            <b/>
            <sz val="9"/>
            <color indexed="81"/>
            <rFont val="Geneva"/>
          </rPr>
          <t>This version of  parameter b is derived from the OM class code. It is used to calculate the P</t>
        </r>
        <r>
          <rPr>
            <b/>
            <vertAlign val="subscript"/>
            <sz val="9"/>
            <color indexed="81"/>
            <rFont val="Geneva"/>
          </rPr>
          <t>OMclass</t>
        </r>
        <r>
          <rPr>
            <b/>
            <sz val="9"/>
            <color indexed="81"/>
            <rFont val="Geneva"/>
          </rPr>
          <t xml:space="preserve"> score. </t>
        </r>
        <r>
          <rPr>
            <sz val="9"/>
            <color indexed="81"/>
            <rFont val="Geneva"/>
          </rPr>
          <t xml:space="preserve">
</t>
        </r>
      </text>
    </comment>
    <comment ref="CJ10" authorId="3" shapeId="0">
      <text>
        <r>
          <rPr>
            <b/>
            <sz val="9"/>
            <color indexed="81"/>
            <rFont val="Geneva"/>
          </rPr>
          <t xml:space="preserve">This factor is determined by the method of detection used for test P and by the weathering class of the soil. The calculation comprises 4 columns. </t>
        </r>
        <r>
          <rPr>
            <sz val="9"/>
            <color indexed="81"/>
            <rFont val="Geneva"/>
          </rPr>
          <t xml:space="preserve">
The first column determines, based on weathering class, which of the next 3 to used in the scoring
</t>
        </r>
      </text>
    </comment>
    <comment ref="CN10" authorId="3" shapeId="0">
      <text>
        <r>
          <rPr>
            <sz val="9"/>
            <color indexed="81"/>
            <rFont val="Geneva"/>
          </rPr>
          <t>The data in this column is brought in from the enter test P data column- it should exactly match your entered data.</t>
        </r>
      </text>
    </comment>
    <comment ref="CY10" authorId="4" shapeId="0">
      <text>
        <r>
          <rPr>
            <sz val="8"/>
            <color indexed="81"/>
            <rFont val="Tahoma"/>
            <family val="2"/>
          </rPr>
          <t xml:space="preserve">The data in this column is brought in from the enter BD data column- it should exactly match your entered data.
</t>
        </r>
      </text>
    </comment>
    <comment ref="DA10" authorId="4" shapeId="0">
      <text>
        <r>
          <rPr>
            <sz val="8"/>
            <color indexed="81"/>
            <rFont val="Tahoma"/>
            <family val="2"/>
          </rPr>
          <t>FP 1 is the crop EC Threshold (T) value beyond which yeild reductions occur.</t>
        </r>
      </text>
    </comment>
    <comment ref="DB10" authorId="4" shapeId="0">
      <text>
        <r>
          <rPr>
            <sz val="8"/>
            <color indexed="81"/>
            <rFont val="Tahoma"/>
            <family val="2"/>
          </rPr>
          <t>The dT factor represents the % decrease in yield with increasing EC values</t>
        </r>
      </text>
    </comment>
    <comment ref="DE10" authorId="4" shapeId="0">
      <text>
        <r>
          <rPr>
            <sz val="8"/>
            <color indexed="81"/>
            <rFont val="Tahoma"/>
            <family val="2"/>
          </rPr>
          <t xml:space="preserve">The data in this column is brought in from the enter EC data column- it should exactly match your entered data.
</t>
        </r>
      </text>
    </comment>
    <comment ref="DF10" authorId="4" shapeId="0">
      <text>
        <r>
          <rPr>
            <sz val="8"/>
            <color indexed="81"/>
            <rFont val="Tahoma"/>
            <family val="2"/>
          </rPr>
          <t>Contains negative values. Next column corrects for negative numbers: If &lt;0, then 0.</t>
        </r>
      </text>
    </comment>
    <comment ref="DH10" authorId="4" shapeId="0">
      <text>
        <r>
          <rPr>
            <sz val="8"/>
            <color indexed="81"/>
            <rFont val="Tahoma"/>
            <family val="2"/>
          </rPr>
          <t xml:space="preserve">The data in this column is brought in from the enter SAR data column- it should exactly match your entered data.
</t>
        </r>
      </text>
    </comment>
    <comment ref="DI10" authorId="4" shapeId="0">
      <text>
        <r>
          <rPr>
            <sz val="8"/>
            <color indexed="81"/>
            <rFont val="Tahoma"/>
            <family val="2"/>
          </rPr>
          <t>SAR interpretation requires a measured EC value for each sample.</t>
        </r>
      </text>
    </comment>
    <comment ref="DM10" authorId="0" shapeId="0">
      <text>
        <r>
          <rPr>
            <sz val="9"/>
            <color indexed="81"/>
            <rFont val="Geneva"/>
          </rPr>
          <t>The data in this column is brought in from the enter BG data column- it should exactly match your entered data.</t>
        </r>
      </text>
    </comment>
    <comment ref="EG10" authorId="0" shapeId="0">
      <text>
        <r>
          <rPr>
            <b/>
            <sz val="9"/>
            <color indexed="81"/>
            <rFont val="Geneva"/>
          </rPr>
          <t xml:space="preserve">This column is the summation of all indicator interpretations: an additive SQ index.
NOTE: </t>
        </r>
        <r>
          <rPr>
            <sz val="9"/>
            <color indexed="81"/>
            <rFont val="Geneva"/>
          </rPr>
          <t xml:space="preserve">If you do not use all of the indicators, make sure that the unused indicator scores equal zero or unlock the sheet and change the equation to include only the used indicators.
</t>
        </r>
      </text>
    </comment>
    <comment ref="EJ10" authorId="0" shapeId="0">
      <text>
        <r>
          <rPr>
            <b/>
            <sz val="9"/>
            <color indexed="81"/>
            <rFont val="Geneva"/>
          </rPr>
          <t xml:space="preserve">This column is the summation of all indicator interpretations: an additive SQ index.
NOTE: </t>
        </r>
        <r>
          <rPr>
            <sz val="9"/>
            <color indexed="81"/>
            <rFont val="Geneva"/>
          </rPr>
          <t xml:space="preserve">If you do not use all of the indicators, make sure that the unused indicator scores equal zero or unlock the sheet and change the equation to include only the used indicators.
</t>
        </r>
      </text>
    </comment>
    <comment ref="EM10" authorId="0" shapeId="0">
      <text>
        <r>
          <rPr>
            <b/>
            <sz val="9"/>
            <color indexed="81"/>
            <rFont val="Geneva"/>
          </rPr>
          <t xml:space="preserve">This column is the summation of all indicator interpretations: an additive SQ index.
NOTE: </t>
        </r>
        <r>
          <rPr>
            <sz val="9"/>
            <color indexed="81"/>
            <rFont val="Geneva"/>
          </rPr>
          <t xml:space="preserve">If you do not use all of the indicators, make sure that the unused indicator scores equal zero or unlock the sheet and change the equation to include only the used indicators.
</t>
        </r>
      </text>
    </comment>
    <comment ref="EP10" authorId="0" shapeId="0">
      <text>
        <r>
          <rPr>
            <b/>
            <sz val="9"/>
            <color indexed="81"/>
            <rFont val="Geneva"/>
          </rPr>
          <t xml:space="preserve">This column is the summation of all indicator interpretations: an additive SQ index.
NOTE: </t>
        </r>
        <r>
          <rPr>
            <sz val="9"/>
            <color indexed="81"/>
            <rFont val="Geneva"/>
          </rPr>
          <t xml:space="preserve">If you do not use all of the indicators, make sure that the unused indicator scores equal zero or unlock the sheet and change the equation to include only the used indicators.
</t>
        </r>
      </text>
    </comment>
    <comment ref="ES10" authorId="0" shapeId="0">
      <text>
        <r>
          <rPr>
            <b/>
            <sz val="9"/>
            <color indexed="81"/>
            <rFont val="Geneva"/>
          </rPr>
          <t xml:space="preserve">This column is the summation of all indicator interpretations: an additive SQ index.
NOTE: </t>
        </r>
        <r>
          <rPr>
            <sz val="9"/>
            <color indexed="81"/>
            <rFont val="Geneva"/>
          </rPr>
          <t xml:space="preserve">If you do not use all of the indicators, make sure that the unused indicator scores equal zero or unlock the sheet and change the equation to include only the used indicators.
</t>
        </r>
      </text>
    </comment>
    <comment ref="EV10" authorId="0" shapeId="0">
      <text>
        <r>
          <rPr>
            <b/>
            <sz val="9"/>
            <color indexed="81"/>
            <rFont val="Geneva"/>
          </rPr>
          <t xml:space="preserve">This column is the summation of all indicator interpretations: an additive SQ index.
NOTE: </t>
        </r>
        <r>
          <rPr>
            <sz val="9"/>
            <color indexed="81"/>
            <rFont val="Geneva"/>
          </rPr>
          <t xml:space="preserve">If you do not use all of the indicators, make sure that the unused indicator scores equal zero or unlock the sheet and change the equation to include only the used indicators.
</t>
        </r>
      </text>
    </comment>
  </commentList>
</comments>
</file>

<file path=xl/comments2.xml><?xml version="1.0" encoding="utf-8"?>
<comments xmlns="http://schemas.openxmlformats.org/spreadsheetml/2006/main">
  <authors>
    <author>Susan S. Andrews</author>
  </authors>
  <commentList>
    <comment ref="A103" authorId="0" shapeId="0">
      <text>
        <r>
          <rPr>
            <sz val="8"/>
            <color indexed="81"/>
            <rFont val="Tahoma"/>
            <family val="2"/>
          </rPr>
          <t xml:space="preserve">Ender code for the combination of Pmethod and weathering class from Soil P Factor Table 1 above.
See Factor Classes tables for a key to the codes and classes
</t>
        </r>
      </text>
    </comment>
    <comment ref="A104" authorId="0" shapeId="0">
      <text>
        <r>
          <rPr>
            <sz val="8"/>
            <color indexed="81"/>
            <rFont val="Tahoma"/>
            <family val="2"/>
          </rPr>
          <t xml:space="preserve">Enter codes for the crops from Soil P FT 2 to observe the curve changes
</t>
        </r>
      </text>
    </comment>
    <comment ref="E185" authorId="0" shapeId="0">
      <text>
        <r>
          <rPr>
            <b/>
            <sz val="8"/>
            <color indexed="81"/>
            <rFont val="Tahoma"/>
            <family val="2"/>
          </rPr>
          <t xml:space="preserve">Dummy variables have been entered in this column. </t>
        </r>
      </text>
    </comment>
    <comment ref="F185" authorId="0" shapeId="0">
      <text>
        <r>
          <rPr>
            <b/>
            <sz val="8"/>
            <color indexed="81"/>
            <rFont val="Tahoma"/>
            <family val="2"/>
          </rPr>
          <t>Susan S. Andrews:</t>
        </r>
        <r>
          <rPr>
            <sz val="8"/>
            <color indexed="81"/>
            <rFont val="Tahoma"/>
            <family val="2"/>
          </rPr>
          <t xml:space="preserve">
This field indicates whether the adjacent value for P optimum is from a reference or a place holder.</t>
        </r>
      </text>
    </comment>
    <comment ref="A334" authorId="0" shapeId="0">
      <text>
        <r>
          <rPr>
            <sz val="8"/>
            <color indexed="81"/>
            <rFont val="Tahoma"/>
            <family val="2"/>
          </rPr>
          <t xml:space="preserve">Ender code for the combination of Pmethod and weathering class from Soil P Factor Table 1 above.
See Factor Classes tables for a key to the codes and classes
</t>
        </r>
      </text>
    </comment>
    <comment ref="A335" authorId="0" shapeId="0">
      <text>
        <r>
          <rPr>
            <sz val="8"/>
            <color indexed="81"/>
            <rFont val="Tahoma"/>
            <family val="2"/>
          </rPr>
          <t xml:space="preserve">Enter codes for the crops from Soil P FT 2 to observe the curve changes
</t>
        </r>
      </text>
    </comment>
  </commentList>
</comments>
</file>

<file path=xl/sharedStrings.xml><?xml version="1.0" encoding="utf-8"?>
<sst xmlns="http://schemas.openxmlformats.org/spreadsheetml/2006/main" count="3253" uniqueCount="1297">
  <si>
    <r>
      <t>THEN y = (a*b + c*(soilP * methodfactor)</t>
    </r>
    <r>
      <rPr>
        <b/>
        <vertAlign val="superscript"/>
        <sz val="11"/>
        <rFont val="Geneva"/>
      </rPr>
      <t>d</t>
    </r>
    <r>
      <rPr>
        <b/>
        <sz val="9"/>
        <rFont val="Geneva"/>
      </rPr>
      <t>) / (b + (soilP * methodfactor)</t>
    </r>
    <r>
      <rPr>
        <b/>
        <vertAlign val="superscript"/>
        <sz val="11"/>
        <rFont val="Geneva"/>
      </rPr>
      <t>d</t>
    </r>
    <r>
      <rPr>
        <b/>
        <sz val="9"/>
        <rFont val="Geneva"/>
      </rPr>
      <t>)</t>
    </r>
  </si>
  <si>
    <t>The fixed parameters are a, c, and d:</t>
  </si>
  <si>
    <t xml:space="preserve">where   </t>
  </si>
  <si>
    <t xml:space="preserve"> a=</t>
  </si>
  <si>
    <t>methodfactor  = f(Pmethod, weathering class)</t>
  </si>
  <si>
    <t>The site-specific parameters are methodfactor and b:</t>
  </si>
  <si>
    <r>
      <t>soilP</t>
    </r>
    <r>
      <rPr>
        <sz val="9"/>
        <rFont val="Geneva"/>
      </rPr>
      <t xml:space="preserve"> (or x) is the measured soil extractable P (mg/kg). </t>
    </r>
    <r>
      <rPr>
        <b/>
        <sz val="9"/>
        <rFont val="Geneva"/>
      </rPr>
      <t>Y</t>
    </r>
    <r>
      <rPr>
        <sz val="9"/>
        <rFont val="Geneva"/>
      </rPr>
      <t xml:space="preserve"> is the interpretation score. </t>
    </r>
  </si>
  <si>
    <t xml:space="preserve">Pmax = Popt + 6 </t>
  </si>
  <si>
    <t>(Popt is in the crop database table)</t>
  </si>
  <si>
    <t>If the masured P is lower than needed to meet crop requirements, a MMF fxn is used:</t>
  </si>
  <si>
    <t>ELSE y = 1</t>
  </si>
  <si>
    <r>
      <t>THEN y = a - b * exp -c (soilP * methodfactor)</t>
    </r>
    <r>
      <rPr>
        <b/>
        <vertAlign val="superscript"/>
        <sz val="11"/>
        <rFont val="Geneva"/>
      </rPr>
      <t>d</t>
    </r>
  </si>
  <si>
    <t>The fixed parameters are a, b, and d:</t>
  </si>
  <si>
    <t>The site-specific parameters are methodfactor, Pmax, and b:</t>
  </si>
  <si>
    <t>If the measured soil extractable P is greater than the limit set by the slope of the site, the Weibull fxn is used:</t>
  </si>
  <si>
    <t>The primary logic statement chooses between a MMF or a Weibull  algroithm depending on the measured P value corrected for  P assay used and soil's weathering class.</t>
  </si>
  <si>
    <r>
      <t xml:space="preserve">b </t>
    </r>
    <r>
      <rPr>
        <b/>
        <sz val="10"/>
        <rFont val="Arial"/>
        <family val="2"/>
      </rPr>
      <t xml:space="preserve">= </t>
    </r>
    <r>
      <rPr>
        <b/>
        <sz val="9"/>
        <rFont val="Geneva"/>
      </rPr>
      <t>f(crop) + (f(crop)*</t>
    </r>
    <r>
      <rPr>
        <b/>
        <sz val="10"/>
        <rFont val="Arial"/>
        <family val="2"/>
      </rPr>
      <t xml:space="preserve"> g(%TOC or OMclass))* h(txt)) </t>
    </r>
  </si>
  <si>
    <t>MMF parameters are:</t>
  </si>
  <si>
    <t>Weibull parameters are:</t>
  </si>
  <si>
    <r>
      <t>EnvProtect</t>
    </r>
    <r>
      <rPr>
        <b/>
        <i/>
        <sz val="9"/>
        <rFont val="Geneva"/>
      </rPr>
      <t xml:space="preserve"> = f</t>
    </r>
    <r>
      <rPr>
        <b/>
        <sz val="9"/>
        <rFont val="Geneva"/>
      </rPr>
      <t>(slope)</t>
    </r>
  </si>
  <si>
    <t xml:space="preserve">If (soilP * methodfactor) &gt; EnvProtect,   </t>
  </si>
  <si>
    <t>If soil P measures are equal to or greater than the maximum optimal for crop use AND less than the limit for environmental protection dictated by slope, the score is 1.</t>
  </si>
  <si>
    <t>test P optimum</t>
  </si>
  <si>
    <t>THIS TABLE IS WOEFULLY LACKING IN DATA</t>
  </si>
  <si>
    <t>ANY INPUT  WOULD BE GREATLY APPRECIATED!!</t>
  </si>
  <si>
    <t>T sat</t>
  </si>
  <si>
    <t>EC from reference?</t>
  </si>
  <si>
    <t>Pmax</t>
  </si>
  <si>
    <t xml:space="preserve">Soil P Factor Table 1: MethodFactor </t>
  </si>
  <si>
    <t>method class</t>
  </si>
  <si>
    <t>Weathering class</t>
  </si>
  <si>
    <t xml:space="preserve"> a'=</t>
  </si>
  <si>
    <t>b'=</t>
  </si>
  <si>
    <t>where</t>
  </si>
  <si>
    <t>OR b= b1 + (b1*b2*b3)</t>
  </si>
  <si>
    <t>f(crop) or b1</t>
  </si>
  <si>
    <t>b1+b1*b2</t>
  </si>
  <si>
    <t xml:space="preserve">ex. </t>
  </si>
  <si>
    <t>SoilP Factor Table 2: crop</t>
  </si>
  <si>
    <r>
      <t>b2</t>
    </r>
    <r>
      <rPr>
        <i/>
        <u/>
        <sz val="10"/>
        <rFont val="Arial"/>
        <family val="2"/>
      </rPr>
      <t xml:space="preserve"> =g(TOC)</t>
    </r>
  </si>
  <si>
    <t>EnvProtect</t>
  </si>
  <si>
    <t>c1+c1*c2</t>
  </si>
  <si>
    <t>c1+c1*TOC/100</t>
  </si>
  <si>
    <t>g(OMclass)</t>
  </si>
  <si>
    <r>
      <t>b2alt.</t>
    </r>
    <r>
      <rPr>
        <i/>
        <u/>
        <sz val="10"/>
        <rFont val="Arial"/>
        <family val="2"/>
      </rPr>
      <t xml:space="preserve"> </t>
    </r>
  </si>
  <si>
    <t>c= (c1+c1*c2)*c3</t>
  </si>
  <si>
    <t>b=b1+(b1*b2*b3)</t>
  </si>
  <si>
    <t>b3</t>
  </si>
  <si>
    <r>
      <t>Methodfactor</t>
    </r>
    <r>
      <rPr>
        <u/>
        <sz val="9"/>
        <rFont val="Geneva"/>
      </rPr>
      <t xml:space="preserve"> = </t>
    </r>
    <r>
      <rPr>
        <i/>
        <u/>
        <sz val="9"/>
        <rFont val="Geneva"/>
      </rPr>
      <t>f</t>
    </r>
    <r>
      <rPr>
        <u/>
        <sz val="9"/>
        <rFont val="Geneva"/>
      </rPr>
      <t>(Pmethod,weathering)</t>
    </r>
  </si>
  <si>
    <t>SoilP Factor Table 3: TOC</t>
  </si>
  <si>
    <t>SoilP ALTERNATE Factor Table 3: OM class</t>
  </si>
  <si>
    <t>SoilP Factor Table 4: Texture</t>
  </si>
  <si>
    <t>SoilP Factor Table 5: slope</t>
  </si>
  <si>
    <r>
      <t xml:space="preserve">b1= f(crop) </t>
    </r>
    <r>
      <rPr>
        <b/>
        <sz val="10"/>
        <rFont val="Arial"/>
        <family val="2"/>
      </rPr>
      <t xml:space="preserve">= </t>
    </r>
    <r>
      <rPr>
        <b/>
        <sz val="9"/>
        <rFont val="Geneva"/>
      </rPr>
      <t>a' + b' * Popt + c' * Popt</t>
    </r>
    <r>
      <rPr>
        <b/>
        <vertAlign val="superscript"/>
        <sz val="11"/>
        <rFont val="Geneva"/>
      </rPr>
      <t>2</t>
    </r>
  </si>
  <si>
    <r>
      <t>c1=</t>
    </r>
    <r>
      <rPr>
        <b/>
        <i/>
        <sz val="9"/>
        <rFont val="Geneva"/>
      </rPr>
      <t>f</t>
    </r>
    <r>
      <rPr>
        <b/>
        <sz val="9"/>
        <rFont val="Geneva"/>
      </rPr>
      <t>(slope); c2=</t>
    </r>
    <r>
      <rPr>
        <b/>
        <i/>
        <sz val="9"/>
        <rFont val="Geneva"/>
      </rPr>
      <t>g</t>
    </r>
    <r>
      <rPr>
        <b/>
        <sz val="9"/>
        <rFont val="Geneva"/>
      </rPr>
      <t xml:space="preserve">(TOC or OM class), c3= </t>
    </r>
    <r>
      <rPr>
        <b/>
        <i/>
        <sz val="9"/>
        <rFont val="Geneva"/>
      </rPr>
      <t>h</t>
    </r>
    <r>
      <rPr>
        <b/>
        <sz val="9"/>
        <rFont val="Geneva"/>
      </rPr>
      <t>(txt)</t>
    </r>
  </si>
  <si>
    <r>
      <t>c=(</t>
    </r>
    <r>
      <rPr>
        <b/>
        <i/>
        <sz val="9"/>
        <rFont val="Geneva"/>
      </rPr>
      <t>f</t>
    </r>
    <r>
      <rPr>
        <b/>
        <sz val="9"/>
        <rFont val="Geneva"/>
      </rPr>
      <t>(slope) + (</t>
    </r>
    <r>
      <rPr>
        <b/>
        <i/>
        <sz val="9"/>
        <rFont val="Geneva"/>
      </rPr>
      <t>f</t>
    </r>
    <r>
      <rPr>
        <b/>
        <sz val="9"/>
        <rFont val="Geneva"/>
      </rPr>
      <t xml:space="preserve">(slope) * </t>
    </r>
    <r>
      <rPr>
        <b/>
        <i/>
        <sz val="9"/>
        <rFont val="Geneva"/>
      </rPr>
      <t>g</t>
    </r>
    <r>
      <rPr>
        <b/>
        <sz val="9"/>
        <rFont val="Geneva"/>
      </rPr>
      <t xml:space="preserve">(TOC or OM class))) * </t>
    </r>
    <r>
      <rPr>
        <b/>
        <i/>
        <sz val="9"/>
        <rFont val="Geneva"/>
      </rPr>
      <t>h</t>
    </r>
    <r>
      <rPr>
        <b/>
        <sz val="9"/>
        <rFont val="Geneva"/>
      </rPr>
      <t xml:space="preserve">(txt)       </t>
    </r>
    <r>
      <rPr>
        <sz val="9"/>
        <rFont val="Geneva"/>
      </rPr>
      <t xml:space="preserve"> g(TOC) </t>
    </r>
    <r>
      <rPr>
        <b/>
        <sz val="9"/>
        <rFont val="Geneva"/>
      </rPr>
      <t xml:space="preserve">is </t>
    </r>
    <r>
      <rPr>
        <sz val="9"/>
        <rFont val="Geneva"/>
      </rPr>
      <t>default;</t>
    </r>
  </si>
  <si>
    <t>which can also be stated as</t>
  </si>
  <si>
    <t>c= (c1+(c1*c2))*c3</t>
  </si>
  <si>
    <r>
      <t>c1</t>
    </r>
    <r>
      <rPr>
        <sz val="9"/>
        <rFont val="Geneva"/>
      </rPr>
      <t>=</t>
    </r>
    <r>
      <rPr>
        <i/>
        <sz val="9"/>
        <rFont val="Geneva"/>
      </rPr>
      <t>f</t>
    </r>
    <r>
      <rPr>
        <sz val="9"/>
        <rFont val="Geneva"/>
      </rPr>
      <t>(slope)</t>
    </r>
  </si>
  <si>
    <t>crop=</t>
  </si>
  <si>
    <t>Popt=</t>
  </si>
  <si>
    <t>slope=</t>
  </si>
  <si>
    <t>texture=</t>
  </si>
  <si>
    <t>Example for slope:</t>
  </si>
  <si>
    <t>MMF factors:</t>
  </si>
  <si>
    <t>soil P</t>
  </si>
  <si>
    <t>other published scheme:</t>
  </si>
  <si>
    <t>slope class=</t>
  </si>
  <si>
    <t>texture class=</t>
  </si>
  <si>
    <t>If score&lt;0, then 0</t>
  </si>
  <si>
    <t>%TOC=</t>
  </si>
  <si>
    <t>txt class=</t>
  </si>
  <si>
    <t>weathering=</t>
  </si>
  <si>
    <t>b3 or h(txt)</t>
  </si>
  <si>
    <t>b2alt or g''(OMclass)</t>
  </si>
  <si>
    <t>c'=</t>
  </si>
  <si>
    <t>crop code=</t>
  </si>
  <si>
    <t>TOC(%)=</t>
  </si>
  <si>
    <t>Referenced optimum?</t>
  </si>
  <si>
    <t>N</t>
  </si>
  <si>
    <t>texture code</t>
  </si>
  <si>
    <t>methodXweath.</t>
  </si>
  <si>
    <t>methodXweath.=</t>
  </si>
  <si>
    <t>med hi TOC</t>
  </si>
  <si>
    <t>hi slope, Meh3</t>
  </si>
  <si>
    <t>lo TOC, Meh1</t>
  </si>
  <si>
    <t>soybean, sandy</t>
  </si>
  <si>
    <t>lo slope, clay</t>
  </si>
  <si>
    <t>Try other combinations to test algorithm and factors.</t>
  </si>
  <si>
    <t>OM class=</t>
  </si>
  <si>
    <r>
      <t>Fe</t>
    </r>
    <r>
      <rPr>
        <b/>
        <vertAlign val="subscript"/>
        <sz val="9"/>
        <color indexed="10"/>
        <rFont val="Geneva"/>
      </rPr>
      <t>2</t>
    </r>
    <r>
      <rPr>
        <b/>
        <sz val="9"/>
        <color indexed="10"/>
        <rFont val="Geneva"/>
      </rPr>
      <t>O</t>
    </r>
    <r>
      <rPr>
        <b/>
        <vertAlign val="subscript"/>
        <sz val="9"/>
        <color indexed="10"/>
        <rFont val="Geneva"/>
      </rPr>
      <t>3</t>
    </r>
    <r>
      <rPr>
        <b/>
        <sz val="9"/>
        <color indexed="10"/>
        <rFont val="Geneva"/>
      </rPr>
      <t xml:space="preserve"> cl=</t>
    </r>
  </si>
  <si>
    <t>clayey Orchept</t>
  </si>
  <si>
    <t>clayey Udult</t>
  </si>
  <si>
    <t>if score&lt;0, then 0</t>
  </si>
  <si>
    <t>Region code=</t>
  </si>
  <si>
    <t>clayey Aridisol</t>
  </si>
  <si>
    <t>clayey Xeroll</t>
  </si>
  <si>
    <t>clayey Udoll</t>
  </si>
  <si>
    <t>If texture class &gt;= 4, then parameters b2, c2 and d2 are used, such that</t>
  </si>
  <si>
    <t>min class=</t>
  </si>
  <si>
    <t>b2 =</t>
  </si>
  <si>
    <t>b1 + delta b</t>
  </si>
  <si>
    <t>* EXP(</t>
  </si>
  <si>
    <t>* (TxtRangeLo + MinRangeShift))</t>
  </si>
  <si>
    <t>c2 =</t>
  </si>
  <si>
    <t xml:space="preserve">d2 = </t>
  </si>
  <si>
    <t xml:space="preserve">* (TxtRangeLo + MinRangeShift) </t>
  </si>
  <si>
    <t>d2=</t>
  </si>
  <si>
    <t>c2=</t>
  </si>
  <si>
    <t xml:space="preserve">glassy clay </t>
  </si>
  <si>
    <t>clay (other)</t>
  </si>
  <si>
    <t>smect clay</t>
  </si>
  <si>
    <t>if y&lt;0, then 0</t>
  </si>
  <si>
    <t>wheat (EC1:1)sand</t>
  </si>
  <si>
    <t>wheat (EC1:1)clay</t>
  </si>
  <si>
    <t>wheat (EC1:1)silt</t>
  </si>
  <si>
    <t>1 (spring, no change with climate)</t>
  </si>
  <si>
    <t>2.1 summer h/h</t>
  </si>
  <si>
    <t>3.1  h/h fall</t>
  </si>
  <si>
    <t>4.1 winter h/h</t>
  </si>
  <si>
    <t>om class=</t>
  </si>
  <si>
    <t>seasXclim=</t>
  </si>
  <si>
    <t>clayey Udoll-Spr</t>
  </si>
  <si>
    <t>clayey Hemist-Spr</t>
  </si>
  <si>
    <t>clayey Udoll-Wtr</t>
  </si>
  <si>
    <t>clayey Fluvent-Wtr</t>
  </si>
  <si>
    <t>sandy Fluvent-Spr</t>
  </si>
  <si>
    <t>FACTOR CLASSES</t>
  </si>
  <si>
    <t>Additive SQ Index</t>
  </si>
  <si>
    <t>%Clay</t>
  </si>
  <si>
    <t>climate class</t>
  </si>
  <si>
    <t>season code</t>
  </si>
  <si>
    <t>mineral class</t>
  </si>
  <si>
    <t>Region code</t>
  </si>
  <si>
    <t>P method code</t>
  </si>
  <si>
    <t>EC method code</t>
  </si>
  <si>
    <t>OM Factor Parameter (FP)</t>
  </si>
  <si>
    <t>Texture FP</t>
  </si>
  <si>
    <t>Climate FP</t>
  </si>
  <si>
    <t>OM FP</t>
  </si>
  <si>
    <t>OM FP (1)</t>
  </si>
  <si>
    <t>OM FP (2)</t>
  </si>
  <si>
    <t>Txt FP</t>
  </si>
  <si>
    <t>TXT FP (1)</t>
  </si>
  <si>
    <t>TXT FP (2)</t>
  </si>
  <si>
    <t>c for OM</t>
  </si>
  <si>
    <t>Method FP</t>
  </si>
  <si>
    <t>method w1</t>
  </si>
  <si>
    <t>method w2</t>
  </si>
  <si>
    <t>method w3</t>
  </si>
  <si>
    <t>test P</t>
  </si>
  <si>
    <t>TXT FP (1) - b</t>
  </si>
  <si>
    <t xml:space="preserve">TXT FP (2)- c </t>
  </si>
  <si>
    <t xml:space="preserve">TXT FP (3)- d </t>
  </si>
  <si>
    <t>Min FP (1)- b</t>
  </si>
  <si>
    <t>Min FP (2)- c</t>
  </si>
  <si>
    <t>Min FP (3)- d</t>
  </si>
  <si>
    <t>BD score</t>
  </si>
  <si>
    <t>Rotation FP (1) - T</t>
  </si>
  <si>
    <t>Rotation FP (2)- dT</t>
  </si>
  <si>
    <t>Rotation FP (3) -m</t>
  </si>
  <si>
    <t>EC (dS/m)</t>
  </si>
  <si>
    <t>prelim. EC score</t>
  </si>
  <si>
    <t>EC score</t>
  </si>
  <si>
    <t xml:space="preserve">SAR </t>
  </si>
  <si>
    <t>SAR score</t>
  </si>
  <si>
    <t>climate cl=</t>
  </si>
  <si>
    <r>
      <t xml:space="preserve">such that </t>
    </r>
    <r>
      <rPr>
        <b/>
        <sz val="10"/>
        <rFont val="Arial"/>
        <family val="2"/>
      </rPr>
      <t>c = (c1*c2) + (c1*c2*c3)</t>
    </r>
  </si>
  <si>
    <t>PMN (g/kg)</t>
  </si>
  <si>
    <t>EC=</t>
  </si>
  <si>
    <t>TOC (%)</t>
  </si>
  <si>
    <t>DATA COLUMNS</t>
  </si>
  <si>
    <t>550 mm = 21.65348 in</t>
  </si>
  <si>
    <t>Password to unlock sheet is: BG</t>
  </si>
  <si>
    <t>β-Glucosidase Activity (BG)</t>
  </si>
  <si>
    <r>
      <t xml:space="preserve">y = a / 1+b * exp </t>
    </r>
    <r>
      <rPr>
        <vertAlign val="superscript"/>
        <sz val="12"/>
        <rFont val="Arial"/>
        <family val="2"/>
      </rPr>
      <t>-c * BG/1000</t>
    </r>
  </si>
  <si>
    <r>
      <t>BG(or X) is the measured β-Glucosidase Activity (mg p-nitrophenol released kg</t>
    </r>
    <r>
      <rPr>
        <vertAlign val="superscript"/>
        <sz val="9"/>
        <rFont val="Arial"/>
        <family val="2"/>
      </rPr>
      <t>-1</t>
    </r>
    <r>
      <rPr>
        <sz val="9"/>
        <rFont val="Arial"/>
        <family val="2"/>
      </rPr>
      <t xml:space="preserve"> soil hr</t>
    </r>
    <r>
      <rPr>
        <vertAlign val="superscript"/>
        <sz val="9"/>
        <rFont val="Arial"/>
        <family val="2"/>
      </rPr>
      <t>-1</t>
    </r>
    <r>
      <rPr>
        <sz val="9"/>
        <rFont val="Arial"/>
        <family val="2"/>
      </rPr>
      <t xml:space="preserve"> incubation). Y is the interpretation score. </t>
    </r>
  </si>
  <si>
    <r>
      <t>X is the measured microbial biomass (mg kg</t>
    </r>
    <r>
      <rPr>
        <vertAlign val="superscript"/>
        <sz val="9"/>
        <rFont val="Geneva"/>
      </rPr>
      <t>-1</t>
    </r>
    <r>
      <rPr>
        <sz val="9"/>
        <rFont val="Geneva"/>
      </rPr>
      <t xml:space="preserve">). Y is the interpretation score. </t>
    </r>
  </si>
  <si>
    <t>From a number of pulished studies; see Stott et al 2009 for a list of references.</t>
  </si>
  <si>
    <t>Sabana Seca</t>
  </si>
  <si>
    <t>Walla Walla</t>
  </si>
  <si>
    <t>Tippecanoe</t>
  </si>
  <si>
    <t>Arlington</t>
  </si>
  <si>
    <t>Lawai</t>
  </si>
  <si>
    <t>BG</t>
  </si>
  <si>
    <t>BG in mg p-nitrophenol released /kg soil / hr incubation</t>
  </si>
  <si>
    <t>Aqualf</t>
  </si>
  <si>
    <t>Haploaquox</t>
  </si>
  <si>
    <t>Clay</t>
  </si>
  <si>
    <t>Silt Loam</t>
  </si>
  <si>
    <t>Haploxeroll</t>
  </si>
  <si>
    <t>Argiuoll</t>
  </si>
  <si>
    <t>hi T, lo ppt</t>
  </si>
  <si>
    <t>Durixeralf</t>
  </si>
  <si>
    <t>Sandy Loam</t>
  </si>
  <si>
    <t>Hapludalf</t>
  </si>
  <si>
    <t>Silt loam</t>
  </si>
  <si>
    <t>Hapludox</t>
  </si>
  <si>
    <t>Silty clay</t>
  </si>
  <si>
    <t>Doty</t>
  </si>
  <si>
    <t>Stott et al. (In Press, SSSAJ, 13 July 2009)</t>
  </si>
  <si>
    <r>
      <rPr>
        <b/>
        <sz val="9"/>
        <color indexed="12"/>
        <rFont val="Geneva"/>
      </rPr>
      <t>Note:</t>
    </r>
    <r>
      <rPr>
        <sz val="9"/>
        <color indexed="12"/>
        <rFont val="Geneva"/>
      </rPr>
      <t xml:space="preserve"> MBC units changed from g kg</t>
    </r>
    <r>
      <rPr>
        <vertAlign val="superscript"/>
        <sz val="9"/>
        <color indexed="12"/>
        <rFont val="Geneva"/>
      </rPr>
      <t>-1</t>
    </r>
    <r>
      <rPr>
        <sz val="9"/>
        <color indexed="12"/>
        <rFont val="Geneva"/>
      </rPr>
      <t xml:space="preserve"> to mg kg</t>
    </r>
    <r>
      <rPr>
        <vertAlign val="superscript"/>
        <sz val="9"/>
        <color indexed="12"/>
        <rFont val="Geneva"/>
      </rPr>
      <t>-1</t>
    </r>
    <r>
      <rPr>
        <sz val="9"/>
        <color indexed="12"/>
        <rFont val="Geneva"/>
      </rPr>
      <t xml:space="preserve"> per email from Susan Andrews. --des (2/12/09)</t>
    </r>
  </si>
  <si>
    <t>test K</t>
  </si>
  <si>
    <t>WFPS</t>
  </si>
  <si>
    <t>pH diff</t>
  </si>
  <si>
    <t>EC T</t>
  </si>
  <si>
    <t>EC %red</t>
  </si>
  <si>
    <t>Water-Filled Pore Space (WFPS)</t>
  </si>
  <si>
    <t>Password to unlock sheet is: WFPS</t>
  </si>
  <si>
    <t>Algorithm description: Biological Activity</t>
  </si>
  <si>
    <t>Scoring curve for biological activity is a quadratic function:</t>
  </si>
  <si>
    <t>y=a+b*x+c*x^2</t>
  </si>
  <si>
    <t xml:space="preserve">x is the measured water-filled pore space. y is the interpretation score. </t>
  </si>
  <si>
    <t>WFPS = (soil water content * BD)/(1-(BD/2.65))</t>
  </si>
  <si>
    <t>For the biological activity algorithm, a, b, and c are influenced by soil texture.</t>
  </si>
  <si>
    <t>Site-Specific Factor Table for the biological activity algorithm (FT):</t>
  </si>
  <si>
    <t>Doran et al. 1990</t>
  </si>
  <si>
    <t>WFPS FT: Texture class</t>
  </si>
  <si>
    <t>Algorithm description: Environmental Protection</t>
  </si>
  <si>
    <r>
      <t xml:space="preserve">Scoring curve for environmental protection is Harris model function: </t>
    </r>
    <r>
      <rPr>
        <b/>
        <sz val="10"/>
        <rFont val="Arial"/>
        <family val="2"/>
      </rPr>
      <t>y=1/(a+b*x^c)</t>
    </r>
  </si>
  <si>
    <t xml:space="preserve">x is the measured water-filled pore space (%). y is the interpretation score. </t>
  </si>
  <si>
    <t>For the environmental protection algorithm the fixed parameters are a, b, and c, where</t>
  </si>
  <si>
    <t>Example Curves: Biological Activity</t>
  </si>
  <si>
    <t>Sandy loam</t>
  </si>
  <si>
    <t>Example Curve: Environmental Protection</t>
  </si>
  <si>
    <t>WFPS Score</t>
  </si>
  <si>
    <t>NEERAJ:</t>
  </si>
  <si>
    <t>(See curve descriptions at top of sheet)</t>
  </si>
  <si>
    <t>Both curves should be calculated for each data point.</t>
  </si>
  <si>
    <t xml:space="preserve">Then the 2 scores should be averaged using weights that  </t>
  </si>
  <si>
    <t>are dependent on the users input for 'management goal'</t>
  </si>
  <si>
    <t>I've added a table called WFPSWeighting in the DB for this.</t>
  </si>
  <si>
    <t>The factors for the BioActivity curve are also in a new DB table</t>
  </si>
  <si>
    <t>BG assay should be based on the method of Eivazi &amp; Tabatabai (1988. Glucosidases and galactosidases in soils. Soil Biol. Biochem. 20:601-606).</t>
  </si>
  <si>
    <t>Soil Test Potassium (Ex-K)</t>
  </si>
  <si>
    <t>Password to unlock sheet is: Ex-K</t>
  </si>
  <si>
    <t>Algorithm description: Soil Test K</t>
  </si>
  <si>
    <t>Scoring curve for biological activity is an exponential function:</t>
  </si>
  <si>
    <t>y=a(1-e^-bx)</t>
  </si>
  <si>
    <t xml:space="preserve">x is the Mehlich extractable K concentration (mg/kg) and y is the interpretation score. </t>
  </si>
  <si>
    <t>Example Curves: Soil Test K for fine textured soils (texture class 3, 4, and 5)</t>
  </si>
  <si>
    <t xml:space="preserve">Prob. Response </t>
  </si>
  <si>
    <t>Mehlich K</t>
  </si>
  <si>
    <t>Ex-K Score</t>
  </si>
  <si>
    <t>Expected Rel. Yield (%)</t>
  </si>
  <si>
    <t xml:space="preserve"> to K fertilizer</t>
  </si>
  <si>
    <t>&lt;1</t>
  </si>
  <si>
    <t>Example Curves: Soil Test K for coarse textured soils (texture class 1 and 2)</t>
  </si>
  <si>
    <t>TXT FP</t>
  </si>
  <si>
    <t>prelim score</t>
  </si>
  <si>
    <t>AGG score</t>
  </si>
  <si>
    <t>MBC score</t>
  </si>
  <si>
    <t>c-factor</t>
  </si>
  <si>
    <t>BG Score</t>
  </si>
  <si>
    <r>
      <t>soilP</t>
    </r>
    <r>
      <rPr>
        <sz val="9"/>
        <rFont val="Geneva"/>
      </rPr>
      <t xml:space="preserve"> (or x) is the measured soil extractable P (mg/kg). </t>
    </r>
    <r>
      <rPr>
        <b/>
        <sz val="9"/>
        <rFont val="Geneva"/>
      </rPr>
      <t>Y</t>
    </r>
    <r>
      <rPr>
        <sz val="9"/>
        <rFont val="Geneva"/>
      </rPr>
      <t xml:space="preserve"> is the interpretation score. </t>
    </r>
  </si>
  <si>
    <t>Runge</t>
  </si>
  <si>
    <t>Argiustoll</t>
  </si>
  <si>
    <t>fine sandy loam</t>
  </si>
  <si>
    <t>Soybean, Mollisol</t>
  </si>
  <si>
    <t>Soybean, Oxisol</t>
  </si>
  <si>
    <t>Tomato, Calcareous</t>
  </si>
  <si>
    <t>Corn, Mollisol</t>
  </si>
  <si>
    <t>Corn, Oxisol, Low slope</t>
  </si>
  <si>
    <t>Corn, Oxisol, High Slope</t>
  </si>
  <si>
    <t>Password to unlock sheet is: FACTOR</t>
  </si>
  <si>
    <t>Password to unlock sheet is: SOC</t>
  </si>
  <si>
    <t>SOC %</t>
  </si>
  <si>
    <t>macroag-gregation</t>
  </si>
  <si>
    <t>note: mg/kg=ppm</t>
  </si>
  <si>
    <t>peanut</t>
  </si>
  <si>
    <t>millet</t>
  </si>
  <si>
    <t>egy wheat</t>
  </si>
  <si>
    <t>weather-ing class</t>
  </si>
  <si>
    <t>measured macroagg</t>
  </si>
  <si>
    <t>Season X Climate FP</t>
  </si>
  <si>
    <t>Values for Season 4</t>
  </si>
  <si>
    <t>pH H2O</t>
  </si>
  <si>
    <t>I used this one</t>
  </si>
  <si>
    <t>SOC INTERPRETATION</t>
  </si>
  <si>
    <t>MACROAGGREGATION INTERPRETATION</t>
  </si>
  <si>
    <t>MICROBIAL BIOMASS CARBON (MBC) INTERPRETATION</t>
  </si>
  <si>
    <t>SOIL pH INTERPRETATION</t>
  </si>
  <si>
    <t>SOIL TEST P INTERPRETATION</t>
  </si>
  <si>
    <t>BULK DENSITY INTERPRETATION</t>
  </si>
  <si>
    <t>ELECTRICAL CONDUCTIVITY INTERPRETATION</t>
  </si>
  <si>
    <t>Na Adsorp. Ratio</t>
  </si>
  <si>
    <t>Prelim BG score</t>
  </si>
  <si>
    <t>SUMMARY OF INDICATOR SCORES (REPEATED)</t>
  </si>
  <si>
    <t>SOC score</t>
  </si>
  <si>
    <t>pH score</t>
  </si>
  <si>
    <t>SUM OF SCORES USED</t>
  </si>
  <si>
    <t>CLASS</t>
  </si>
  <si>
    <t>TEXTURE</t>
  </si>
  <si>
    <t>VLOOKUP TABLE</t>
  </si>
  <si>
    <t>SOIL SERIES</t>
  </si>
  <si>
    <t>&gt; 40% CLAY == 5</t>
  </si>
  <si>
    <t>usterts</t>
  </si>
  <si>
    <t>`</t>
  </si>
  <si>
    <t>timothy</t>
  </si>
  <si>
    <t>orchard grass</t>
  </si>
  <si>
    <t>manually check for these</t>
  </si>
  <si>
    <t>&lt;8% CLAY == 1</t>
  </si>
  <si>
    <t>red clover</t>
  </si>
  <si>
    <t>crops</t>
  </si>
  <si>
    <t>clover, red</t>
  </si>
  <si>
    <t>Phleum pratense</t>
  </si>
  <si>
    <t>Trifolium  pratense L.</t>
  </si>
  <si>
    <t>Dactylis glomerata L.</t>
  </si>
  <si>
    <t>sorghum x sudan grass</t>
  </si>
  <si>
    <t>hybrid</t>
  </si>
  <si>
    <t>bermuda grass</t>
  </si>
  <si>
    <t>change</t>
  </si>
  <si>
    <t>Date</t>
  </si>
  <si>
    <t>what was done</t>
  </si>
  <si>
    <t>sorghum x sudan grass hybrid</t>
  </si>
  <si>
    <t>http://ag.arizona.edu/pubs/crops/az9702.pdf</t>
  </si>
  <si>
    <r>
      <t>IF EC</t>
    </r>
    <r>
      <rPr>
        <b/>
        <vertAlign val="subscript"/>
        <sz val="9"/>
        <rFont val="Geneva"/>
      </rPr>
      <t>1:1</t>
    </r>
    <r>
      <rPr>
        <b/>
        <sz val="9"/>
        <rFont val="Geneva"/>
      </rPr>
      <t xml:space="preserve"> &gt;T 1:1, THEN y = m * EC + b</t>
    </r>
    <r>
      <rPr>
        <b/>
        <vertAlign val="subscript"/>
        <sz val="9"/>
        <rFont val="Geneva"/>
      </rPr>
      <t>1:1</t>
    </r>
  </si>
  <si>
    <t>EC as dS/m</t>
  </si>
  <si>
    <r>
      <t xml:space="preserve">m </t>
    </r>
    <r>
      <rPr>
        <sz val="9"/>
        <rFont val="Geneva"/>
      </rPr>
      <t xml:space="preserve">is determined as a separate algorithm, such that m = f(dt): </t>
    </r>
  </si>
  <si>
    <t>http://www1.agric.gov.ab.ca/$department/deptdocs.nsf/all/agdex3303; moderately sensitive: Saini, 1972</t>
  </si>
  <si>
    <t>Maas, E.V. 1986. Salt tolerance of plants. Applied Agric. Res. 1-12-26</t>
  </si>
  <si>
    <t xml:space="preserve">same data listed in </t>
  </si>
  <si>
    <t xml:space="preserve">Changes made in March 2012 to previously listed "FALSE" (no references).  Most from Maas 1984. </t>
  </si>
  <si>
    <t>Maas, E.V. 1984 (10). Crop Tolerance. California Agriculture, pp20-21.</t>
  </si>
  <si>
    <t>Maas, E.V. 1984. Crop Tolerance. California Agriculture, Oct. 1984, pp20-21.</t>
  </si>
  <si>
    <t>Alternate: 1.5, 19.  Maas, E.V. 1984. Crop Tolerance. California Agriculture, Oct. 1984, pp20-21.</t>
  </si>
  <si>
    <t>Alternate: 1.6, 24.  Maas, E.V. 1984. Crop Tolerance. California Agriculture, Oct. 1984, pp20-21.</t>
  </si>
  <si>
    <t>Alternate: 1.8, 9.7.  Maas, E.V. 1984. Crop Tolerance. California Agriculture, Oct. 1984, pp20-21.</t>
  </si>
  <si>
    <t>Alternate: 1.0, 14.  Maas, E.V. 1984. Crop Tolerance. California Agriculture, Oct. 1984, pp20-21.</t>
  </si>
  <si>
    <t>Alternate: 1.8, 7.4; Maas, E.V. 1984. Crop Tolerance. California Agriculture, Oct. 1984, pp20-21.</t>
  </si>
  <si>
    <t>Alternate: 1.7, 12. Maas, E.V. 1984. Crop Tolerance. California Agriculture, Oct. 1984, pp20-21.</t>
  </si>
  <si>
    <t>Alternate: 1.5, 9.6. Maas, E.V. 1984. Crop Tolerance. California Agriculture, Oct. 1984, pp20-21.</t>
  </si>
  <si>
    <t>Alternate: 1.3, 13. Maas, E.V. 1984. Crop Tolerance. California Agriculture, Oct. 1984, pp20-21.</t>
  </si>
  <si>
    <t>Alternate: 1.2, 16. Maas, E.V. 1984. Crop Tolerance. California Agriculture, Oct. 1984, pp20-21.</t>
  </si>
  <si>
    <t>Alternate: 1.7, 21. Maas, E.V. 1984. Crop Tolerance. California Agriculture, Oct. 1984, pp20-21.</t>
  </si>
  <si>
    <t>Alternate: 1.5, 18. Maas, E.V. 1984. Crop Tolerance. California Agriculture, Oct. 1984, pp20-21.</t>
  </si>
  <si>
    <t>Alternate: 1.5, 14. Maas, E.V. 1984. Crop Tolerance. California Agriculture, Oct. 1984, pp20-21.</t>
  </si>
  <si>
    <t>Alternate: 1.0, 33. Maas, E.V. 1984. Crop Tolerance. California Agriculture, Oct. 1984, pp20-21.</t>
  </si>
  <si>
    <t>Alternate: 1.5, 11. Maas, E.V. 1984. Crop Tolerance. California Agriculture, Oct. 1984, pp20-21.</t>
  </si>
  <si>
    <t>Alternate: 6.9; 6.4; Maas, E.V. 1986. Crop Tolerance. California Agriculture, Oct. 1984, pp20-21.</t>
  </si>
  <si>
    <t>Alternate: 2.0, 7.6. Maas, E.V. 1984. Crop Tolerance. California Agriculture, Oct. 1984, pp20-21.</t>
  </si>
  <si>
    <t>Alternate: 2.5, 11; Maas, E.V. 1984. Crop Tolerance. California Agriculture, Oct. 1984, pp20-21.</t>
  </si>
  <si>
    <t>Alternate: 2.8, 9.2; Maas, E.V. 1986. Crop Tolerance. California Agriculture, Oct. 1984, pp20-21.</t>
  </si>
  <si>
    <t>paddy rice, soil water during flooded growing conditions; Maas, E.V. 1984. Crop Tolerance. California Agriculture, Oct. 1984, pp20-21.</t>
  </si>
  <si>
    <t>fescue, tall</t>
  </si>
  <si>
    <t>sugarbeets</t>
  </si>
  <si>
    <t xml:space="preserve"> TRUE</t>
  </si>
  <si>
    <t>wheat, duram</t>
  </si>
  <si>
    <t>ryegrass, perennial</t>
  </si>
  <si>
    <t>high end of optimum (http://www.soils.wisc.edu/extension/pubs/A3030.pdf)</t>
  </si>
  <si>
    <t>high end of optimum (http://www.extension.iastate.edu/Publications/PM1688.pdf)</t>
  </si>
  <si>
    <t>c for SOC</t>
  </si>
  <si>
    <t>Prelim Texture Class</t>
  </si>
  <si>
    <t>Texture Class</t>
  </si>
  <si>
    <t>SQIndex: Added preliminary textural class column and logical tests for loaw and high clay w/ appropriate textural class designation.</t>
  </si>
  <si>
    <t xml:space="preserve">SQIndex: Changed factor formulas containing TXT Factor reference to column w/ final Texture Class Factor (AE==&gt;AG); </t>
  </si>
  <si>
    <t>Expanded crop codes, allowing #9-13 to be swapped out for specific watersheds (factorclasses, pH, EC and soilP).</t>
  </si>
  <si>
    <t>SQIndex: Created "vlookup table" equation to replace "if" statements for pH; pH: Location of Vlookup Table.</t>
  </si>
  <si>
    <t>Added crops to pH sheet: red clover, orchard grass, timothy, sorghum X sudan grass.</t>
  </si>
  <si>
    <t>Added same to EC and SoilP sheets.</t>
  </si>
  <si>
    <t>Changed beans to dry beans throughout tables.</t>
  </si>
  <si>
    <t>Added additional crops that were found to the EC sheet as well as the reference.</t>
  </si>
  <si>
    <t>SQIndex: Created "vlookup table" equation to replace "if" statements for EC; EC: Location of Vlookup Table.</t>
  </si>
  <si>
    <t>SQIndex: Created "vlookup table" equation to replace "if" statements for soilP; SoilP: Location of Vlookup Table.</t>
  </si>
  <si>
    <t xml:space="preserve">     Includes chages to columns AY, AT, BE, BN, BY,CD,CG,CR,CZ,DA,DB,DG,DK, DQ, DR, EC,ED,EG,EH, EI.</t>
  </si>
  <si>
    <t>white clover</t>
  </si>
  <si>
    <t>blue gass</t>
  </si>
  <si>
    <t>Clover, white</t>
  </si>
  <si>
    <t>Trifolium repens</t>
  </si>
  <si>
    <t>bluegrass</t>
  </si>
  <si>
    <t>ryegrass, annual</t>
  </si>
  <si>
    <t>Poa pratensis</t>
  </si>
  <si>
    <t>ryegrass, perrenial</t>
  </si>
  <si>
    <t>pHrange,
High</t>
  </si>
  <si>
    <t>pH optimum</t>
  </si>
  <si>
    <t>pH range/2</t>
  </si>
  <si>
    <t>pH range,Low</t>
  </si>
  <si>
    <t>Added white clover, perrenial ryegrass, bluegrass to pH, EC and SoilP tables</t>
  </si>
  <si>
    <t>SOC</t>
  </si>
  <si>
    <t>AGG</t>
  </si>
  <si>
    <t>Physical</t>
  </si>
  <si>
    <t>Chemical</t>
  </si>
  <si>
    <t>Nutrients</t>
  </si>
  <si>
    <t>coastal burmuda grass</t>
  </si>
  <si>
    <t>Big Blue Stem</t>
  </si>
  <si>
    <t>Small Blue Stem</t>
  </si>
  <si>
    <t>Indian Grass</t>
  </si>
  <si>
    <t>Crops for Leon River (Riesel) Watershed</t>
  </si>
  <si>
    <t>coastal bermuda grass</t>
  </si>
  <si>
    <r>
      <t>(1.2627176*(Range/2))+(0.29161387*(Range/2)</t>
    </r>
    <r>
      <rPr>
        <b/>
        <vertAlign val="superscript"/>
        <sz val="8"/>
        <rFont val="Geneva"/>
        <family val="2"/>
      </rPr>
      <t>2</t>
    </r>
    <r>
      <rPr>
        <b/>
        <sz val="8"/>
        <rFont val="Geneva"/>
        <family val="2"/>
      </rPr>
      <t>)</t>
    </r>
  </si>
  <si>
    <t>oat</t>
  </si>
  <si>
    <t>bluestem, little</t>
  </si>
  <si>
    <t>bluestem, big</t>
  </si>
  <si>
    <t>indian grass</t>
  </si>
  <si>
    <t>listed as having medium or moderate tolerance</t>
  </si>
  <si>
    <t>Sorghastrum nutans L. Nash</t>
  </si>
  <si>
    <t xml:space="preserve">Andropogon gerardii L. Vitman </t>
  </si>
  <si>
    <t xml:space="preserve">Schizachyrium scoparium (Michx.) L. Nash </t>
  </si>
  <si>
    <t>Data from nrcs plant material centers</t>
  </si>
  <si>
    <t>HB-clay</t>
  </si>
  <si>
    <t>HB-hi clay</t>
  </si>
  <si>
    <t>for graph - see Chart 2</t>
  </si>
  <si>
    <t>sorghum</t>
  </si>
  <si>
    <t>Riesel, txt 4</t>
  </si>
  <si>
    <t>Riesel, txt 5</t>
  </si>
  <si>
    <t>REISEL#1</t>
  </si>
  <si>
    <t>REISEL #2</t>
  </si>
  <si>
    <t>Password to unlock this sheet is: SQIndex</t>
  </si>
  <si>
    <t>SOIL TEST K</t>
  </si>
  <si>
    <t>Values for Seasons: 1 or 3</t>
  </si>
  <si>
    <t>SOC (%)</t>
  </si>
  <si>
    <t>Values for Season 2 Value</t>
  </si>
  <si>
    <r>
      <t>Potentially Mineralizable Nitrogen (PMN or N</t>
    </r>
    <r>
      <rPr>
        <b/>
        <u val="singleAccounting"/>
        <vertAlign val="subscript"/>
        <sz val="12"/>
        <rFont val="Arial"/>
        <family val="2"/>
      </rPr>
      <t>min</t>
    </r>
    <r>
      <rPr>
        <b/>
        <u val="singleAccounting"/>
        <sz val="12"/>
        <rFont val="Arial"/>
        <family val="2"/>
      </rPr>
      <t>)</t>
    </r>
  </si>
  <si>
    <r>
      <t>Correct PMN (N</t>
    </r>
    <r>
      <rPr>
        <vertAlign val="subscript"/>
        <sz val="12"/>
        <rFont val="Geneva"/>
      </rPr>
      <t>MIN</t>
    </r>
    <r>
      <rPr>
        <sz val="12"/>
        <rFont val="Geneva"/>
      </rPr>
      <t>) calculation - minimal difference in result for soils in this data set</t>
    </r>
  </si>
  <si>
    <t>Crop Code for b</t>
  </si>
  <si>
    <t>FP (c): pH diff</t>
  </si>
  <si>
    <t>Crop FP (b)</t>
  </si>
  <si>
    <t>slope FP (1) (in-flection point)</t>
  </si>
  <si>
    <t>slope FP (2) (para-meter C)</t>
  </si>
  <si>
    <t>vlookup table b49:65</t>
  </si>
  <si>
    <t>Note: The T and dT values for the rotation crop with the minimum T should be used. (This is automatic in the web tool but manual in Excel.)</t>
  </si>
  <si>
    <t>EC set up for 1:1 Method</t>
  </si>
  <si>
    <t>or if already "TRUE", added Maas citation.</t>
  </si>
  <si>
    <t>not used in this study</t>
  </si>
  <si>
    <t>PMN [Nmin] score</t>
  </si>
  <si>
    <t>Test K score</t>
  </si>
  <si>
    <t>Corrected Soil P calculation: Columns  CF &amp; CG ( METHOD W1 &amp; W2), changed factor class value called from WEATHERING CLASS (Column A0) to P METHOD CODE (Column AN)</t>
  </si>
  <si>
    <t xml:space="preserve">                                          Column CH, changed factor class value called from EC METHOD CODE (AP) to P METHOD CLASS CODE (Column AN)</t>
  </si>
  <si>
    <t xml:space="preserve">                                          Column BT [Crop FP (2) (binitial)], changed b' from -39.579185 to +39.579185 as per SoilP spreadsheet</t>
  </si>
  <si>
    <t>vlookup table based on Mehlich 3 Method</t>
  </si>
  <si>
    <t>LOAM</t>
  </si>
  <si>
    <t>SAND</t>
  </si>
  <si>
    <t>LOAMY SAND</t>
  </si>
  <si>
    <t>SANDY LOAM</t>
  </si>
  <si>
    <t>SANDY CLAY LOAM</t>
  </si>
  <si>
    <t>SILT LOAM</t>
  </si>
  <si>
    <t>SILT</t>
  </si>
  <si>
    <t>SANDY CLAY</t>
  </si>
  <si>
    <t>CLAY LOAM</t>
  </si>
  <si>
    <t>SILTY CLAY LOAM</t>
  </si>
  <si>
    <t>SILTY CLAY</t>
  </si>
  <si>
    <t>CLAY</t>
  </si>
  <si>
    <t>BG mg PNP/
kg/h</t>
  </si>
  <si>
    <t>THIS INDICATOR IS TOO TRANSITORY TO BE USEFUL</t>
  </si>
  <si>
    <t>Microbial Biomass C</t>
  </si>
  <si>
    <t>peas</t>
  </si>
  <si>
    <t>salt tolerant</t>
  </si>
  <si>
    <t>forage</t>
  </si>
  <si>
    <t>pine forest (moderate)</t>
  </si>
  <si>
    <t>pine forest</t>
  </si>
  <si>
    <t>CODE</t>
  </si>
  <si>
    <t>malt barley</t>
  </si>
  <si>
    <t>dried</t>
  </si>
  <si>
    <t>beans</t>
  </si>
  <si>
    <t>red, alsike, ladino, strawberry</t>
  </si>
  <si>
    <t>Clover</t>
  </si>
  <si>
    <t>clover ()</t>
  </si>
  <si>
    <t>berseem</t>
  </si>
  <si>
    <t>CROP</t>
  </si>
  <si>
    <t>SCIENTIFIC NAME</t>
  </si>
  <si>
    <r>
      <t>T</t>
    </r>
    <r>
      <rPr>
        <b/>
        <vertAlign val="subscript"/>
        <sz val="11"/>
        <rFont val="Gill Sans MT"/>
        <family val="2"/>
      </rPr>
      <t>1:1</t>
    </r>
    <r>
      <rPr>
        <b/>
        <sz val="11"/>
        <rFont val="Gill Sans MT"/>
        <family val="2"/>
      </rPr>
      <t xml:space="preserve"> sand </t>
    </r>
  </si>
  <si>
    <t>SEE "CROP FACTORS" TAB FOR UP-TO-DATE CODES</t>
  </si>
  <si>
    <t>Created "CROP FACTOR" tab and combined the crop code parameters for EC, pH, and soilP into one vlookup table</t>
  </si>
  <si>
    <t>Changed equations in SQIndes to reflect new vlookup table</t>
  </si>
  <si>
    <t>Equations</t>
  </si>
  <si>
    <t>Based on Mehlich 3</t>
  </si>
  <si>
    <t>barley, malt barley</t>
  </si>
  <si>
    <t>beans, dried</t>
  </si>
  <si>
    <t>bermuda grass, coastal</t>
  </si>
  <si>
    <t>potato</t>
  </si>
  <si>
    <t>wheat, spring</t>
  </si>
  <si>
    <t>sunflower</t>
  </si>
  <si>
    <t>sugarbeet</t>
  </si>
  <si>
    <t>strawberry</t>
  </si>
  <si>
    <t>raspberry</t>
  </si>
  <si>
    <t>Pmax default=+6</t>
  </si>
  <si>
    <t>YES</t>
  </si>
  <si>
    <t>pear</t>
  </si>
  <si>
    <t>EC (1:1) PARAMETERS (dS/m)</t>
  </si>
  <si>
    <t>carrot</t>
  </si>
  <si>
    <t>blackberry</t>
  </si>
  <si>
    <t>boysenberry</t>
  </si>
  <si>
    <t>apricot</t>
  </si>
  <si>
    <t>orange</t>
  </si>
  <si>
    <t>peach</t>
  </si>
  <si>
    <t>grape</t>
  </si>
  <si>
    <t>grapefruit</t>
  </si>
  <si>
    <t>pea, field; peas</t>
  </si>
  <si>
    <t>turnip</t>
  </si>
  <si>
    <t>radish</t>
  </si>
  <si>
    <t>clover, red, alsike, ladino, strawberry</t>
  </si>
  <si>
    <t>clover, white</t>
  </si>
  <si>
    <t>clover, berseem</t>
  </si>
  <si>
    <t>foxtail, meadow</t>
  </si>
  <si>
    <t>fava or broad bean</t>
  </si>
  <si>
    <t>Vicia faba</t>
  </si>
  <si>
    <t>date</t>
  </si>
  <si>
    <t>celery</t>
  </si>
  <si>
    <t>corn, sweet</t>
  </si>
  <si>
    <t>corn, pop</t>
  </si>
  <si>
    <t>vetch, common or hairy</t>
  </si>
  <si>
    <t>rice, paddy</t>
  </si>
  <si>
    <t>squash, scallop</t>
  </si>
  <si>
    <t>Sudangrass</t>
  </si>
  <si>
    <t>beet, red</t>
  </si>
  <si>
    <t>zucchini</t>
  </si>
  <si>
    <t>http://www1.agric.gov.ab.ca/$department/deptdocs.nsf/all/agdex3303</t>
  </si>
  <si>
    <t>CIT.</t>
  </si>
  <si>
    <t>REF.</t>
  </si>
  <si>
    <t>mod. tolerance</t>
  </si>
  <si>
    <t>Password: CropFactor</t>
  </si>
  <si>
    <t>DO NOT CHANGE CODE NUMBERS</t>
  </si>
  <si>
    <t>pine, lodgepole</t>
  </si>
  <si>
    <t>pine, ponderosa</t>
  </si>
  <si>
    <t>Soil P</t>
  </si>
  <si>
    <t>http://www.soils.wisc.edu/extension/pubs/A3030.pdf</t>
  </si>
  <si>
    <t>CURRENT DIMENSIONS: C5:Q130</t>
  </si>
  <si>
    <t>corn, grain</t>
  </si>
  <si>
    <t>pH (2:1) PARAMETERS</t>
  </si>
  <si>
    <t>vlookup values</t>
  </si>
  <si>
    <r>
      <t>b</t>
    </r>
    <r>
      <rPr>
        <i/>
        <sz val="11"/>
        <color indexed="9"/>
        <rFont val="Gill Sans MT"/>
        <family val="2"/>
      </rPr>
      <t xml:space="preserve"> (opt.)</t>
    </r>
  </si>
  <si>
    <r>
      <t xml:space="preserve">c </t>
    </r>
    <r>
      <rPr>
        <i/>
        <sz val="11"/>
        <color indexed="9"/>
        <rFont val="Gill Sans MT"/>
        <family val="2"/>
      </rPr>
      <t>(range/2)</t>
    </r>
  </si>
  <si>
    <t>ec1:1</t>
  </si>
  <si>
    <t>0.0017? (unit descrepancy)</t>
  </si>
  <si>
    <t xml:space="preserve">http://www.fs.fed.us/rm/pubs_other/wo_ah680/wo_ah680_005_012.pdf </t>
  </si>
  <si>
    <t>SOIL P PARAM.</t>
  </si>
  <si>
    <t>col. 7</t>
  </si>
  <si>
    <t>col.8</t>
  </si>
  <si>
    <t>col. 10</t>
  </si>
  <si>
    <t>col. 2</t>
  </si>
  <si>
    <t>vlookup table "Crop Factors"</t>
  </si>
  <si>
    <t xml:space="preserve">MEASURED TEXTURE </t>
  </si>
  <si>
    <t>Nmin</t>
  </si>
  <si>
    <t>DO NOT ADD/DELETE COLUMNS FROM HERE &amp; TO THE RIGHT</t>
  </si>
  <si>
    <t>Tsat</t>
  </si>
  <si>
    <t>No. Indicators</t>
  </si>
  <si>
    <t>6, 7</t>
  </si>
  <si>
    <t>3, 7</t>
  </si>
  <si>
    <t>pine, slash</t>
  </si>
  <si>
    <t>Pinus elliottii var. elliottii</t>
  </si>
  <si>
    <t>pine, longleaf</t>
  </si>
  <si>
    <t>Pinus palustris</t>
  </si>
  <si>
    <t xml:space="preserve">http://www.browardeec.org/documents/enviro_forestry.pdf </t>
  </si>
  <si>
    <t>Rotation</t>
  </si>
  <si>
    <t>SUB-
ORDER</t>
  </si>
  <si>
    <t>Hickory</t>
  </si>
  <si>
    <t>http://pdf.countyofdane.com/myfairlakes/A3877.pdf</t>
  </si>
  <si>
    <t>http://www.co.lancaster.pa.us/toolbox/lib/toolbox/nativetreesandshrubs/panativetreesshrubssm.pdf</t>
  </si>
  <si>
    <t>Oak, Southern Red</t>
  </si>
  <si>
    <t>Oak, White</t>
  </si>
  <si>
    <t>Carya spp.</t>
  </si>
  <si>
    <t>http://www.sfrc.ufl.edu/extension/florida_forestry_information/forest_management/files/SREF-FM-002_soilpH_tree_species_suitability.pdf</t>
  </si>
  <si>
    <t xml:space="preserve">     Burns and Honkala, 1990a and Williston and LaFayette, 1978</t>
  </si>
  <si>
    <t>Quercus alba</t>
  </si>
  <si>
    <t>Quercus falcata</t>
  </si>
  <si>
    <t>SUBORDER</t>
  </si>
  <si>
    <t>Created vlookup table for OM_Classes on "FactorClasses" tab</t>
  </si>
  <si>
    <t>col 4</t>
  </si>
  <si>
    <t>Crop 1 (Column AJ)  is used here.</t>
  </si>
  <si>
    <t>SQ Index Worksheet</t>
  </si>
  <si>
    <t>DATA COLUMNS -- META DATA. ADD OR SUBTACT COLUMNS AS DESIRED.</t>
  </si>
  <si>
    <t>CROP INFO NEEDED FOR EC, pH , &amp; SOIL P</t>
  </si>
  <si>
    <t>SLOPE OR SLOPE CLASS NEEDED FOR SOIL_P INTERP.</t>
  </si>
  <si>
    <t>EQUATION</t>
  </si>
  <si>
    <t>------------ ENTER MANUALLY -------------------</t>
  </si>
  <si>
    <t>------------ ENTER MANUALLY ------------</t>
  </si>
  <si>
    <t xml:space="preserve">INTERPRETATIONS CALCULATED AUTOMATICALLY  ==&gt; </t>
  </si>
  <si>
    <t>SQI</t>
  </si>
  <si>
    <t>Example for OM class &amp; txt combinations (parameters MMF b and Weibull c):</t>
  </si>
  <si>
    <t>Weibull parameters:</t>
  </si>
  <si>
    <r>
      <t xml:space="preserve">c2 = </t>
    </r>
    <r>
      <rPr>
        <i/>
        <sz val="9"/>
        <rFont val="Geneva"/>
      </rPr>
      <t>g</t>
    </r>
    <r>
      <rPr>
        <sz val="9"/>
        <rFont val="Geneva"/>
      </rPr>
      <t>(OM)</t>
    </r>
  </si>
  <si>
    <r>
      <t xml:space="preserve">c3= </t>
    </r>
    <r>
      <rPr>
        <sz val="10"/>
        <rFont val="Arial"/>
        <family val="2"/>
      </rPr>
      <t>h</t>
    </r>
    <r>
      <rPr>
        <i/>
        <sz val="10"/>
        <rFont val="Arial"/>
        <family val="2"/>
      </rPr>
      <t>(txt)</t>
    </r>
  </si>
  <si>
    <t>c1 f(slope)</t>
  </si>
  <si>
    <t>b1 f(crop)</t>
  </si>
  <si>
    <t>weathering cl=</t>
  </si>
  <si>
    <t>METHOD AND WEATHERING CLASS</t>
  </si>
  <si>
    <t>TEXTURE AND OM CLASS VARIATIONS</t>
  </si>
  <si>
    <t>SLOPE EFFECT</t>
  </si>
  <si>
    <t>CROP EFFECT</t>
  </si>
  <si>
    <t>CROP P TABLE</t>
  </si>
  <si>
    <t>Example for crop:</t>
  </si>
  <si>
    <t>Password to unlock sheet is: soilP</t>
  </si>
  <si>
    <t>Try changing the optimum and range or add other crops.</t>
  </si>
  <si>
    <t xml:space="preserve">Example Curves </t>
  </si>
  <si>
    <t>Example Curves: USING ALTERNATIVE C VALUES</t>
  </si>
  <si>
    <r>
      <t>f</t>
    </r>
    <r>
      <rPr>
        <b/>
        <sz val="9"/>
        <rFont val="Geneva"/>
      </rPr>
      <t>(range)</t>
    </r>
  </si>
  <si>
    <t>Fragaria (X ananassa)/chiloensis/vesca/virginiana</t>
  </si>
  <si>
    <t>sugarcane</t>
  </si>
  <si>
    <t>Saccharum officinarum</t>
  </si>
  <si>
    <t>sunflowers</t>
  </si>
  <si>
    <t>Helianthus annuus</t>
  </si>
  <si>
    <t>spring wheat</t>
  </si>
  <si>
    <t>Triticum ssp.</t>
  </si>
  <si>
    <t>sweet potato</t>
  </si>
  <si>
    <t>Ipomoea batatas</t>
  </si>
  <si>
    <t>tropical fruits</t>
  </si>
  <si>
    <t>tobacco</t>
  </si>
  <si>
    <t>Nicotiana tabacum</t>
  </si>
  <si>
    <t>Lycopersicon esculentum</t>
  </si>
  <si>
    <t>truck crops</t>
  </si>
  <si>
    <t>tritcale</t>
  </si>
  <si>
    <t>vetch</t>
  </si>
  <si>
    <t>Vicia sativa L.</t>
  </si>
  <si>
    <t>vegetables</t>
  </si>
  <si>
    <t>walnut</t>
  </si>
  <si>
    <t>Juglans (nigra)/regia/hindsii</t>
  </si>
  <si>
    <t>watermelon</t>
  </si>
  <si>
    <t>Citullus lanatus</t>
  </si>
  <si>
    <t>wheat-fallow</t>
  </si>
  <si>
    <t>winter wheat</t>
  </si>
  <si>
    <t>Triticum aestivum L.</t>
  </si>
  <si>
    <t>dry beans</t>
  </si>
  <si>
    <t>pH Factor Table: crop</t>
  </si>
  <si>
    <r>
      <t>m</t>
    </r>
    <r>
      <rPr>
        <sz val="9"/>
        <rFont val="Geneva"/>
      </rPr>
      <t xml:space="preserve"> is the slope for the linear fxn that describes the score when EC&gt;T </t>
    </r>
  </si>
  <si>
    <t xml:space="preserve">m = </t>
  </si>
  <si>
    <r>
      <t>(0.5091 - 161.58 * dT)/(1 + 484.2 * dT - 16.14 * dT</t>
    </r>
    <r>
      <rPr>
        <b/>
        <vertAlign val="superscript"/>
        <sz val="12"/>
        <rFont val="Geneva"/>
      </rPr>
      <t>2</t>
    </r>
    <r>
      <rPr>
        <b/>
        <sz val="9"/>
        <rFont val="Geneva"/>
      </rPr>
      <t>)</t>
    </r>
  </si>
  <si>
    <t>IF ECsat &gt; T, THEN y = m * EC + b</t>
  </si>
  <si>
    <r>
      <t>T</t>
    </r>
    <r>
      <rPr>
        <b/>
        <vertAlign val="subscript"/>
        <sz val="12"/>
        <rFont val="Arial"/>
        <family val="2"/>
      </rPr>
      <t>1:1</t>
    </r>
    <r>
      <rPr>
        <b/>
        <sz val="10"/>
        <rFont val="Arial"/>
        <family val="2"/>
      </rPr>
      <t xml:space="preserve"> </t>
    </r>
    <r>
      <rPr>
        <b/>
        <sz val="9"/>
        <rFont val="Geneva"/>
      </rPr>
      <t>= (T / 1.77) * textfactor)</t>
    </r>
  </si>
  <si>
    <t>Scoring curve is a Gaussian model:</t>
  </si>
  <si>
    <r>
      <t>y = a * exp ((-(x-b)</t>
    </r>
    <r>
      <rPr>
        <b/>
        <vertAlign val="superscript"/>
        <sz val="12"/>
        <rFont val="Arial"/>
        <family val="2"/>
      </rPr>
      <t>2</t>
    </r>
    <r>
      <rPr>
        <b/>
        <sz val="10"/>
        <rFont val="Arial"/>
        <family val="2"/>
      </rPr>
      <t>) / 2*c</t>
    </r>
    <r>
      <rPr>
        <b/>
        <vertAlign val="superscript"/>
        <sz val="12"/>
        <rFont val="Arial"/>
        <family val="2"/>
      </rPr>
      <t>2</t>
    </r>
    <r>
      <rPr>
        <b/>
        <sz val="10"/>
        <rFont val="Arial"/>
        <family val="2"/>
      </rPr>
      <t>)</t>
    </r>
  </si>
  <si>
    <r>
      <t>X is the measured soi solution pH (- log H</t>
    </r>
    <r>
      <rPr>
        <vertAlign val="superscript"/>
        <sz val="10"/>
        <rFont val="Geneva"/>
      </rPr>
      <t>+</t>
    </r>
    <r>
      <rPr>
        <sz val="9"/>
        <rFont val="Geneva"/>
      </rPr>
      <t xml:space="preserve">). Y is the interpretation score. </t>
    </r>
  </si>
  <si>
    <t>The site-specific parameters are b and c. Their values are influenced by the current crop in the rotation.</t>
  </si>
  <si>
    <r>
      <t>b</t>
    </r>
    <r>
      <rPr>
        <i/>
        <sz val="10"/>
        <rFont val="Arial"/>
        <family val="2"/>
      </rPr>
      <t xml:space="preserve"> (optimum)</t>
    </r>
  </si>
  <si>
    <t xml:space="preserve">The fixed parameter is a, where </t>
  </si>
  <si>
    <r>
      <t>b=</t>
    </r>
    <r>
      <rPr>
        <i/>
        <sz val="9"/>
        <rFont val="Geneva"/>
      </rPr>
      <t/>
    </r>
  </si>
  <si>
    <t>optimum pH for crop</t>
  </si>
  <si>
    <r>
      <t xml:space="preserve">c </t>
    </r>
    <r>
      <rPr>
        <i/>
        <sz val="10"/>
        <rFont val="Arial"/>
        <family val="2"/>
      </rPr>
      <t>(range)</t>
    </r>
  </si>
  <si>
    <t>(alt c)</t>
  </si>
  <si>
    <r>
      <t>c value that is</t>
    </r>
    <r>
      <rPr>
        <i/>
        <sz val="10"/>
        <rFont val="Arial"/>
        <family val="2"/>
      </rPr>
      <t xml:space="preserve"> a quadratic function </t>
    </r>
    <r>
      <rPr>
        <sz val="10"/>
        <rFont val="Arial"/>
        <family val="2"/>
      </rPr>
      <t>of range</t>
    </r>
    <r>
      <rPr>
        <i/>
        <sz val="10"/>
        <rFont val="Arial"/>
        <family val="2"/>
      </rPr>
      <t>.</t>
    </r>
  </si>
  <si>
    <t>It returns higher scores.</t>
  </si>
  <si>
    <r>
      <t>NOTE:</t>
    </r>
    <r>
      <rPr>
        <sz val="9"/>
        <rFont val="Geneva"/>
      </rPr>
      <t xml:space="preserve"> A second version of the pH algorithm uses an alternative</t>
    </r>
  </si>
  <si>
    <t>alt Y</t>
  </si>
  <si>
    <t>Also see the top 5 pH score cells in the SQIndex</t>
  </si>
  <si>
    <t>iron oxide strip</t>
  </si>
  <si>
    <t>EC Method</t>
  </si>
  <si>
    <t>Sat.paste</t>
  </si>
  <si>
    <t>1:1</t>
  </si>
  <si>
    <t>scientificName</t>
  </si>
  <si>
    <t>alfalfa</t>
  </si>
  <si>
    <t>Medicago (sativa)/falcata</t>
  </si>
  <si>
    <t>almond</t>
  </si>
  <si>
    <t>apples</t>
  </si>
  <si>
    <t>Malus sylvestris</t>
  </si>
  <si>
    <t>apricots</t>
  </si>
  <si>
    <t>asparagus</t>
  </si>
  <si>
    <t>Asparagus (densiflorus)/officinalis</t>
  </si>
  <si>
    <t>avocado</t>
  </si>
  <si>
    <t>Persea americana</t>
  </si>
  <si>
    <t>banana</t>
  </si>
  <si>
    <t>Musa X paradisiaca</t>
  </si>
  <si>
    <t>barley; malt barley</t>
  </si>
  <si>
    <t>Hordeum vulgare L.</t>
  </si>
  <si>
    <t>blueberries</t>
  </si>
  <si>
    <t>Vaccinium (corymbosum)/ashei/angustifolium</t>
  </si>
  <si>
    <t>beans, dried beans</t>
  </si>
  <si>
    <t>Phaseolus vulgaris L.</t>
  </si>
  <si>
    <t>blackberries</t>
  </si>
  <si>
    <t>Rubus spp.</t>
  </si>
  <si>
    <t>bermudagrass</t>
  </si>
  <si>
    <t>Cynodon dactylon</t>
  </si>
  <si>
    <t>broccoli</t>
  </si>
  <si>
    <t>Brassica oleracea</t>
  </si>
  <si>
    <t>buckwheat</t>
  </si>
  <si>
    <t>Fagopyrum (tataricum)/esculentum</t>
  </si>
  <si>
    <t>cabbage</t>
  </si>
  <si>
    <t>Brassica oleracea var. capitata</t>
  </si>
  <si>
    <t>cantaloupe</t>
  </si>
  <si>
    <t>Cucumis melo</t>
  </si>
  <si>
    <t>carrots</t>
  </si>
  <si>
    <t>Daucus carota</t>
  </si>
  <si>
    <t>cauliflower</t>
  </si>
  <si>
    <t>Brassica oleracea var.botrytis</t>
  </si>
  <si>
    <t>cherries</t>
  </si>
  <si>
    <t>citrus</t>
  </si>
  <si>
    <t>clover</t>
  </si>
  <si>
    <t>Trifolium alexandrium</t>
  </si>
  <si>
    <t>canning crops</t>
  </si>
  <si>
    <t>coffee</t>
  </si>
  <si>
    <t>Coffea (arabica)/bengalensis/canephora/congensis/liberica</t>
  </si>
  <si>
    <t>cranberries</t>
  </si>
  <si>
    <t>Vaccinium macrocarpon</t>
  </si>
  <si>
    <t>Zea mays subsp. Mays</t>
  </si>
  <si>
    <t>corn silage</t>
  </si>
  <si>
    <t>Zea mays</t>
  </si>
  <si>
    <t>Gossypium (anomalum)/arboreum/barbadense/herbaceum/hirsutum</t>
  </si>
  <si>
    <t>cucumber</t>
  </si>
  <si>
    <t>curbita pepo</t>
  </si>
  <si>
    <t>cowpea</t>
  </si>
  <si>
    <t>Vigna unguiculata L.</t>
  </si>
  <si>
    <t>dates</t>
  </si>
  <si>
    <t>Date palm</t>
  </si>
  <si>
    <t>deciduous fruits</t>
  </si>
  <si>
    <t>Festuca spp.</t>
  </si>
  <si>
    <t>feed grain</t>
  </si>
  <si>
    <t>cut flowers</t>
  </si>
  <si>
    <t>flaxseed; flax</t>
  </si>
  <si>
    <t>Linum usitatissimum</t>
  </si>
  <si>
    <t>forages</t>
  </si>
  <si>
    <t>fruits</t>
  </si>
  <si>
    <t>Allium sativum</t>
  </si>
  <si>
    <t>grapes</t>
  </si>
  <si>
    <t>grass</t>
  </si>
  <si>
    <t>guava</t>
  </si>
  <si>
    <t>Psidium (cattleianum)/friedrichsthalianum/guajava/guineese/montanum</t>
  </si>
  <si>
    <t>hay</t>
  </si>
  <si>
    <t>hops</t>
  </si>
  <si>
    <t>Humulus lupulus</t>
  </si>
  <si>
    <t>johnsongrass</t>
  </si>
  <si>
    <t>Sorghum halepense</t>
  </si>
  <si>
    <t>legumes</t>
  </si>
  <si>
    <t>lettuce</t>
  </si>
  <si>
    <t>Lactuca sativa</t>
  </si>
  <si>
    <t>lentils</t>
  </si>
  <si>
    <t>Lens culinaris</t>
  </si>
  <si>
    <t>macadamia orchards</t>
  </si>
  <si>
    <t>meadow</t>
  </si>
  <si>
    <t>mulberry</t>
  </si>
  <si>
    <t>Morus (alba)/nigra/rubra</t>
  </si>
  <si>
    <t>nursery stock</t>
  </si>
  <si>
    <t>nuts</t>
  </si>
  <si>
    <t>oats</t>
  </si>
  <si>
    <t>Avena (abyssinica)/byzantina/fatua/sativa/sterilis/strigosa</t>
  </si>
  <si>
    <t>oil producing crops</t>
  </si>
  <si>
    <t>olive</t>
  </si>
  <si>
    <t>Allium cepa</t>
  </si>
  <si>
    <t>papaya</t>
  </si>
  <si>
    <t>Carica papaya</t>
  </si>
  <si>
    <t>pasture, tame pasture</t>
  </si>
  <si>
    <t>peaches</t>
  </si>
  <si>
    <t>Punus persica</t>
  </si>
  <si>
    <t>pecans</t>
  </si>
  <si>
    <t>Carya illinoensis</t>
  </si>
  <si>
    <t>field peas; peas</t>
  </si>
  <si>
    <t>plum</t>
  </si>
  <si>
    <t>pineapple</t>
  </si>
  <si>
    <t>Ananas comosus</t>
  </si>
  <si>
    <t>peanuts</t>
  </si>
  <si>
    <t>Arachis hypogea L.</t>
  </si>
  <si>
    <t>potatoes</t>
  </si>
  <si>
    <t>Solanum tuberosum L.</t>
  </si>
  <si>
    <t>pepper</t>
  </si>
  <si>
    <t>Capsicum annuum L.</t>
  </si>
  <si>
    <t>poppy</t>
  </si>
  <si>
    <t>pear trees</t>
  </si>
  <si>
    <t>Pyrus communis</t>
  </si>
  <si>
    <t>rice</t>
  </si>
  <si>
    <t>Oryza sativa L.</t>
  </si>
  <si>
    <t>raspberries</t>
  </si>
  <si>
    <t>Rubus (idaeus var. strigosus)/occidentalis/occidentalis X idaeus</t>
  </si>
  <si>
    <t>Lolium perenne L.</t>
  </si>
  <si>
    <t>sugar beets</t>
  </si>
  <si>
    <t>Beta vulgaris L.</t>
  </si>
  <si>
    <t>seed crops</t>
  </si>
  <si>
    <t>small grains</t>
  </si>
  <si>
    <t>small fruit</t>
  </si>
  <si>
    <t>sorghum, grain sorhum</t>
  </si>
  <si>
    <t>Sorghum bicolor</t>
  </si>
  <si>
    <t>Glycine max L.</t>
  </si>
  <si>
    <t>specialty crops</t>
  </si>
  <si>
    <t>spinach</t>
  </si>
  <si>
    <t>subtropical fruits</t>
  </si>
  <si>
    <t>strawberries</t>
  </si>
  <si>
    <t>Cryepts</t>
  </si>
  <si>
    <t>tomato</t>
  </si>
  <si>
    <t>Hemists</t>
  </si>
  <si>
    <t>borolls</t>
  </si>
  <si>
    <t>Cryalfs</t>
  </si>
  <si>
    <t>Cryids</t>
  </si>
  <si>
    <t>sm grains</t>
  </si>
  <si>
    <t>Histels</t>
  </si>
  <si>
    <t>cryolls</t>
  </si>
  <si>
    <t>cryands</t>
  </si>
  <si>
    <t>Durids</t>
  </si>
  <si>
    <t>Saprists</t>
  </si>
  <si>
    <t>Humods</t>
  </si>
  <si>
    <t>cryerts</t>
  </si>
  <si>
    <t>fluvents</t>
  </si>
  <si>
    <t>Turbels</t>
  </si>
  <si>
    <t>Humults</t>
  </si>
  <si>
    <t>cryods</t>
  </si>
  <si>
    <t>Gypsids</t>
  </si>
  <si>
    <t>rendolls</t>
  </si>
  <si>
    <t>Orthels</t>
  </si>
  <si>
    <t>ochrepts</t>
  </si>
  <si>
    <t>P Method</t>
  </si>
  <si>
    <t>Udands</t>
  </si>
  <si>
    <t>Udalfs</t>
  </si>
  <si>
    <t>orthents</t>
  </si>
  <si>
    <t>Mehlich 1</t>
  </si>
  <si>
    <t>Udolls</t>
  </si>
  <si>
    <t>Ustalfs</t>
  </si>
  <si>
    <t>orthids</t>
  </si>
  <si>
    <t>Udox</t>
  </si>
  <si>
    <t>Vitrands</t>
  </si>
  <si>
    <t>Orthods</t>
  </si>
  <si>
    <t>Ustands</t>
  </si>
  <si>
    <t>orthox</t>
  </si>
  <si>
    <t>ustolls</t>
  </si>
  <si>
    <t>Perox</t>
  </si>
  <si>
    <t>Resin</t>
  </si>
  <si>
    <t>Xererts</t>
  </si>
  <si>
    <t>psamments</t>
  </si>
  <si>
    <t>xerolls</t>
  </si>
  <si>
    <t>Salids</t>
  </si>
  <si>
    <t>Torrands</t>
  </si>
  <si>
    <t>Sharpley 1991 SSSAJ 55:1038</t>
  </si>
  <si>
    <t>Torrerts</t>
  </si>
  <si>
    <t>calc</t>
  </si>
  <si>
    <t>calc rxn class</t>
  </si>
  <si>
    <t>calcareous</t>
  </si>
  <si>
    <t>Torrox</t>
  </si>
  <si>
    <t>ulisols, oxisols, acidic orchepts,  (quartzipsamments, ultic Alfisols)</t>
  </si>
  <si>
    <t>tropepts</t>
  </si>
  <si>
    <t>slightly</t>
  </si>
  <si>
    <t>all others</t>
  </si>
  <si>
    <t>Udepts</t>
  </si>
  <si>
    <t>Udults</t>
  </si>
  <si>
    <t>umbrepts</t>
  </si>
  <si>
    <t>Ustepts</t>
  </si>
  <si>
    <t>Ustox</t>
  </si>
  <si>
    <t>Ustults</t>
  </si>
  <si>
    <t>Xerepts</t>
  </si>
  <si>
    <t>Xerents</t>
  </si>
  <si>
    <t>Xerults</t>
  </si>
  <si>
    <t>OM class</t>
  </si>
  <si>
    <t>OM CLASS</t>
  </si>
  <si>
    <t>Texture class</t>
  </si>
  <si>
    <t>weathering class</t>
  </si>
  <si>
    <t>AWC</t>
  </si>
  <si>
    <r>
      <t xml:space="preserve">Site-Specific Factor Tables (FT): </t>
    </r>
    <r>
      <rPr>
        <u/>
        <sz val="10"/>
        <rFont val="Arial"/>
        <family val="2"/>
      </rPr>
      <t>no tables used, only the measured value of EC (Hanson &amp; Grattan 1992)</t>
    </r>
  </si>
  <si>
    <t>measured EC:</t>
  </si>
  <si>
    <t xml:space="preserve">All parameters and coefficients within each of the three algorithms are fixed. They are listed in the Parameter Table below. </t>
  </si>
  <si>
    <t>EC med</t>
  </si>
  <si>
    <t>EC&lt;0.2</t>
  </si>
  <si>
    <t>EC&gt;0.55</t>
  </si>
  <si>
    <t>method=</t>
  </si>
  <si>
    <t>dry bean (ECsat)</t>
  </si>
  <si>
    <t>fescue (ECsat)</t>
  </si>
  <si>
    <t>wheat (ECsat)</t>
  </si>
  <si>
    <r>
      <t>ex. T</t>
    </r>
    <r>
      <rPr>
        <i/>
        <vertAlign val="subscript"/>
        <sz val="10"/>
        <rFont val="Arial"/>
        <family val="2"/>
      </rPr>
      <t>1:1</t>
    </r>
    <r>
      <rPr>
        <i/>
        <sz val="10"/>
        <rFont val="Arial"/>
        <family val="2"/>
      </rPr>
      <t xml:space="preserve">  </t>
    </r>
  </si>
  <si>
    <r>
      <t>EC</t>
    </r>
    <r>
      <rPr>
        <u/>
        <vertAlign val="subscript"/>
        <sz val="10"/>
        <rFont val="Arial"/>
        <family val="2"/>
      </rPr>
      <t>1:1</t>
    </r>
    <r>
      <rPr>
        <u/>
        <sz val="10"/>
        <rFont val="Arial"/>
        <family val="2"/>
      </rPr>
      <t xml:space="preserve"> FACTOR TABLE 2: texture</t>
    </r>
  </si>
  <si>
    <r>
      <t>EC</t>
    </r>
    <r>
      <rPr>
        <u/>
        <vertAlign val="subscript"/>
        <sz val="10"/>
        <rFont val="Arial"/>
        <family val="2"/>
      </rPr>
      <t>1:1</t>
    </r>
    <r>
      <rPr>
        <u/>
        <sz val="10"/>
        <rFont val="Arial"/>
        <family val="2"/>
      </rPr>
      <t xml:space="preserve"> FACTOR TABLE 1: crop</t>
    </r>
  </si>
  <si>
    <t>barley3</t>
  </si>
  <si>
    <t>ECsat FACTOR TABLE 1: crop</t>
  </si>
  <si>
    <r>
      <t>T</t>
    </r>
    <r>
      <rPr>
        <vertAlign val="subscript"/>
        <sz val="9"/>
        <rFont val="Geneva"/>
      </rPr>
      <t>1.1</t>
    </r>
    <r>
      <rPr>
        <sz val="9"/>
        <rFont val="Geneva"/>
      </rPr>
      <t xml:space="preserve"> in sand  = 1.77* T sat. paste </t>
    </r>
  </si>
  <si>
    <t>use least tolerant crop in a rotation</t>
  </si>
  <si>
    <t>i.e., crop with lowest T</t>
  </si>
  <si>
    <t>T=</t>
  </si>
  <si>
    <t>dT=</t>
  </si>
  <si>
    <t>m=</t>
  </si>
  <si>
    <t>txt=</t>
  </si>
  <si>
    <t>Crop &amp; Method:</t>
  </si>
  <si>
    <t>fescue (EC1:1)</t>
  </si>
  <si>
    <t xml:space="preserve">Enter dT: </t>
  </si>
  <si>
    <r>
      <t>enter T</t>
    </r>
    <r>
      <rPr>
        <vertAlign val="subscript"/>
        <sz val="9"/>
        <rFont val="Geneva"/>
      </rPr>
      <t>sat</t>
    </r>
    <r>
      <rPr>
        <sz val="9"/>
        <rFont val="Geneva"/>
      </rPr>
      <t>:</t>
    </r>
  </si>
  <si>
    <r>
      <t>betw.17&amp;T</t>
    </r>
    <r>
      <rPr>
        <vertAlign val="subscript"/>
        <sz val="9"/>
        <rFont val="Geneva"/>
      </rPr>
      <t>1:1</t>
    </r>
  </si>
  <si>
    <r>
      <t>aboveT</t>
    </r>
    <r>
      <rPr>
        <vertAlign val="subscript"/>
        <sz val="9"/>
        <rFont val="Geneva"/>
      </rPr>
      <t>1:1</t>
    </r>
  </si>
  <si>
    <t>prelim Y</t>
  </si>
  <si>
    <t>PMN FT 1: OM class</t>
  </si>
  <si>
    <t>PMN FT 2: texture</t>
  </si>
  <si>
    <t>PMN FT 3:climate</t>
  </si>
  <si>
    <r>
      <t xml:space="preserve">y = a / 1+b * exp </t>
    </r>
    <r>
      <rPr>
        <vertAlign val="superscript"/>
        <sz val="12"/>
        <rFont val="Geneva"/>
      </rPr>
      <t>-c * PMN</t>
    </r>
  </si>
  <si>
    <t>y=a+b*cos(cx-d)</t>
  </si>
  <si>
    <t>b=</t>
  </si>
  <si>
    <t>c=</t>
  </si>
  <si>
    <t>d</t>
  </si>
  <si>
    <t>texture</t>
  </si>
  <si>
    <t>d2</t>
  </si>
  <si>
    <t>Fe2O3</t>
  </si>
  <si>
    <t>d3</t>
  </si>
  <si>
    <t>x</t>
  </si>
  <si>
    <t>Macroaggregate Stability (AGG)</t>
  </si>
  <si>
    <t>Scoring curve is a sinusoidal limit function:</t>
  </si>
  <si>
    <t>1 (hi)</t>
  </si>
  <si>
    <t>2 (mhi)</t>
  </si>
  <si>
    <t>3 (mlo)</t>
  </si>
  <si>
    <t>4 (lo)</t>
  </si>
  <si>
    <t xml:space="preserve">X is the measured aggregate stablity (%). Y is the interpretation score. </t>
  </si>
  <si>
    <t>The fixed parameters are a, b, and c, where</t>
  </si>
  <si>
    <t>a=</t>
  </si>
  <si>
    <t>The site-specific parameter is d. The value of d is influenced by the sample's OM class (d1), soil texture (d2), and iron oxide class (d3).</t>
  </si>
  <si>
    <t>AGG FT 1: OM class</t>
  </si>
  <si>
    <t>USDA,  1966</t>
  </si>
  <si>
    <t>d1</t>
  </si>
  <si>
    <t>ex. d2 for hi OM</t>
  </si>
  <si>
    <t>d3 for txt 3 , hi OM</t>
  </si>
  <si>
    <t>AGG FT 2: Texture class</t>
  </si>
  <si>
    <t>AGG FT 3: Fe2O3 class</t>
  </si>
  <si>
    <t>AGG (%)</t>
  </si>
  <si>
    <t>OM</t>
  </si>
  <si>
    <t>a</t>
  </si>
  <si>
    <t>b</t>
  </si>
  <si>
    <t>c</t>
  </si>
  <si>
    <t>f(OM)</t>
  </si>
  <si>
    <t>g(txt)</t>
  </si>
  <si>
    <t>*</t>
  </si>
  <si>
    <t>OM Class</t>
  </si>
  <si>
    <t>TXT class</t>
  </si>
  <si>
    <t>Fe2O3 Class</t>
  </si>
  <si>
    <t>h(Fe)</t>
  </si>
  <si>
    <t>Y</t>
  </si>
  <si>
    <t>Example:</t>
  </si>
  <si>
    <t>Parameter Table in Database:</t>
  </si>
  <si>
    <r>
      <t xml:space="preserve">such that </t>
    </r>
    <r>
      <rPr>
        <b/>
        <sz val="10"/>
        <rFont val="Arial"/>
        <family val="2"/>
      </rPr>
      <t>d = d1*d2*d3</t>
    </r>
  </si>
  <si>
    <t>Password to unlock sheet is: AGG</t>
  </si>
  <si>
    <t>region</t>
  </si>
  <si>
    <t>txt</t>
  </si>
  <si>
    <t>b or c</t>
  </si>
  <si>
    <t>(Diaz-Zorrito et al. Ag J 1999 91(2))</t>
  </si>
  <si>
    <t>Available Water Capacity (AWC)</t>
  </si>
  <si>
    <t>If region=arid (Land Resource Regions A-J), then MMF fxn:</t>
  </si>
  <si>
    <r>
      <t>y=(a*b+c*AWC</t>
    </r>
    <r>
      <rPr>
        <b/>
        <vertAlign val="superscript"/>
        <sz val="9"/>
        <rFont val="Geneva"/>
      </rPr>
      <t>d</t>
    </r>
    <r>
      <rPr>
        <b/>
        <sz val="9"/>
        <rFont val="Geneva"/>
      </rPr>
      <t>)/(b+AWC</t>
    </r>
    <r>
      <rPr>
        <b/>
        <vertAlign val="superscript"/>
        <sz val="9"/>
        <rFont val="Geneva"/>
      </rPr>
      <t>d</t>
    </r>
    <r>
      <rPr>
        <b/>
        <sz val="9"/>
        <rFont val="Geneva"/>
      </rPr>
      <t>)</t>
    </r>
  </si>
  <si>
    <r>
      <t xml:space="preserve">Else sinusoidal fxn: </t>
    </r>
    <r>
      <rPr>
        <b/>
        <sz val="9"/>
        <rFont val="Geneva"/>
      </rPr>
      <t xml:space="preserve">y= a + b* cos (c*x + d) </t>
    </r>
    <r>
      <rPr>
        <sz val="9"/>
        <rFont val="Geneva"/>
      </rPr>
      <t>where a=0.477; b=0.52675; c= 6.87765; d= fxn(txture)</t>
    </r>
  </si>
  <si>
    <t>d=</t>
  </si>
  <si>
    <t>Password to unlock sheet is: AWC</t>
  </si>
  <si>
    <r>
      <t xml:space="preserve">The fixed parameters of the </t>
    </r>
    <r>
      <rPr>
        <b/>
        <sz val="9"/>
        <rFont val="Geneva"/>
      </rPr>
      <t>MMF fxn</t>
    </r>
    <r>
      <rPr>
        <sz val="9"/>
        <rFont val="Geneva"/>
      </rPr>
      <t xml:space="preserve"> are a, c, and d, where</t>
    </r>
  </si>
  <si>
    <r>
      <t xml:space="preserve">The fixed parameters of the </t>
    </r>
    <r>
      <rPr>
        <b/>
        <sz val="9"/>
        <rFont val="Geneva"/>
      </rPr>
      <t>sinusoidal</t>
    </r>
    <r>
      <rPr>
        <sz val="9"/>
        <rFont val="Geneva"/>
      </rPr>
      <t xml:space="preserve"> fxn are a, c, and d, where</t>
    </r>
  </si>
  <si>
    <r>
      <t xml:space="preserve">The site-specific parameter for the </t>
    </r>
    <r>
      <rPr>
        <b/>
        <sz val="9"/>
        <rFont val="Geneva"/>
      </rPr>
      <t>sinusoidal</t>
    </r>
    <r>
      <rPr>
        <sz val="9"/>
        <rFont val="Geneva"/>
      </rPr>
      <t xml:space="preserve"> fxn is is d. The value of d is influenced by the sample's soil texture (d)</t>
    </r>
  </si>
  <si>
    <t xml:space="preserve">For both algorithms, AWC (or x) is the measured available water capacity (g H2O/ g soil (1/3 bar-15 bar)). Y is the  score. </t>
  </si>
  <si>
    <r>
      <t xml:space="preserve">such that </t>
    </r>
    <r>
      <rPr>
        <b/>
        <sz val="10"/>
        <rFont val="Arial"/>
        <family val="2"/>
      </rPr>
      <t xml:space="preserve">b = b1*b2 </t>
    </r>
  </si>
  <si>
    <t>Xeralfs</t>
  </si>
  <si>
    <t>other</t>
  </si>
  <si>
    <t>PMN</t>
  </si>
  <si>
    <t>Bray</t>
  </si>
  <si>
    <t>Mehlich 3</t>
  </si>
  <si>
    <t>Olsen</t>
  </si>
  <si>
    <t>crop</t>
  </si>
  <si>
    <t>5=clay with &gt; 60% clay</t>
  </si>
  <si>
    <t>change to 40% ??</t>
  </si>
  <si>
    <t>3= silt loam, silt</t>
  </si>
  <si>
    <t>Quisenberry et al., 1993</t>
  </si>
  <si>
    <t>(degree days./ avg.ppt)</t>
  </si>
  <si>
    <t>hi/hi-&gt;=170odays&amp;&gt;=550ppt</t>
  </si>
  <si>
    <t>2 to 5</t>
  </si>
  <si>
    <t>hi/lo-&gt;=170odays&amp;&lt;550ppt</t>
  </si>
  <si>
    <t>5 to 9</t>
  </si>
  <si>
    <t>lo/hi-&lt;170odays&amp;&gt;=550ppt</t>
  </si>
  <si>
    <t>9 to 15</t>
  </si>
  <si>
    <t>lo/lo-&lt;170odays&amp;&lt;550ppt</t>
  </si>
  <si>
    <t>15+</t>
  </si>
  <si>
    <t>MINERAL CLASSES</t>
  </si>
  <si>
    <t>spring</t>
  </si>
  <si>
    <t>pre-planting or at planting</t>
  </si>
  <si>
    <t>Smectitic=</t>
  </si>
  <si>
    <t>summer</t>
  </si>
  <si>
    <t>mid-growing season</t>
  </si>
  <si>
    <t xml:space="preserve">glassy= </t>
  </si>
  <si>
    <t>fall</t>
  </si>
  <si>
    <t>at or just after harvest</t>
  </si>
  <si>
    <t>winter</t>
  </si>
  <si>
    <t>fallow, cover or double</t>
  </si>
  <si>
    <t xml:space="preserve">  </t>
  </si>
  <si>
    <t>CROP CODES</t>
  </si>
  <si>
    <t>Class 1 High</t>
  </si>
  <si>
    <t>Class 2</t>
  </si>
  <si>
    <t>Class 3</t>
  </si>
  <si>
    <t>Class 4  Low</t>
  </si>
  <si>
    <t>code</t>
  </si>
  <si>
    <t>pH opt</t>
  </si>
  <si>
    <t>Suborder</t>
  </si>
  <si>
    <t>cotton</t>
  </si>
  <si>
    <t>albolls</t>
  </si>
  <si>
    <t>andepts</t>
  </si>
  <si>
    <t>arents</t>
  </si>
  <si>
    <t>Aquods</t>
  </si>
  <si>
    <t>Aquepts</t>
  </si>
  <si>
    <t>Anthrepts</t>
  </si>
  <si>
    <t>Argids</t>
  </si>
  <si>
    <t>garlic</t>
  </si>
  <si>
    <t>Aquox</t>
  </si>
  <si>
    <t>aquerts</t>
  </si>
  <si>
    <t>Aqualfs</t>
  </si>
  <si>
    <t>Calcids</t>
  </si>
  <si>
    <t>onion</t>
  </si>
  <si>
    <t>Fibrists</t>
  </si>
  <si>
    <t>aquolls</t>
  </si>
  <si>
    <t>Aquents</t>
  </si>
  <si>
    <t>Cambids</t>
  </si>
  <si>
    <t>melon</t>
  </si>
  <si>
    <t>Folists</t>
  </si>
  <si>
    <t>Aquults</t>
  </si>
  <si>
    <t>boralfs</t>
  </si>
  <si>
    <t>Using a logic statement, the program chooses between two algorithms based on region.</t>
  </si>
  <si>
    <r>
      <t>y=a- b*exp (-c x</t>
    </r>
    <r>
      <rPr>
        <b/>
        <vertAlign val="superscript"/>
        <sz val="9"/>
        <rFont val="Geneva"/>
      </rPr>
      <t>d</t>
    </r>
    <r>
      <rPr>
        <b/>
        <sz val="9"/>
        <rFont val="Geneva"/>
      </rPr>
      <t>)</t>
    </r>
  </si>
  <si>
    <t>Using a logic statement, the program chooses between two sets of parameters for one algorithm based on soil texture.</t>
  </si>
  <si>
    <t>BD FACTOR TABLE 2: Mineralogy (used for texture classes 4&amp;5 only)</t>
  </si>
  <si>
    <t>c1</t>
  </si>
  <si>
    <t>c2 (ex. for txt5)</t>
  </si>
  <si>
    <t>d2 (ex. for txt5)</t>
  </si>
  <si>
    <t>TxtClass</t>
  </si>
  <si>
    <t>BD FACTOR TABLE 1: texture</t>
  </si>
  <si>
    <t xml:space="preserve">The algorithm is a Weibull fxn: </t>
  </si>
  <si>
    <t xml:space="preserve">The fixed parameter is a. </t>
  </si>
  <si>
    <t>range-lo</t>
  </si>
  <si>
    <t>range-hi</t>
  </si>
  <si>
    <t>Mineralogy</t>
  </si>
  <si>
    <t>range shift</t>
  </si>
  <si>
    <t>The site-specific parameters are b, c, and d, which vary with soil texture and mineralogy.</t>
  </si>
  <si>
    <t>delta b</t>
  </si>
  <si>
    <t>b2 (ex. for txt5)</t>
  </si>
  <si>
    <t>silt</t>
  </si>
  <si>
    <t>sand</t>
  </si>
  <si>
    <t>SAR</t>
  </si>
  <si>
    <t>Hanson &amp; Grattan 1992</t>
  </si>
  <si>
    <t>after Rhoades 77 &amp; Oster and Schroer 79</t>
  </si>
  <si>
    <t>EC</t>
  </si>
  <si>
    <t>pH</t>
  </si>
  <si>
    <t>Whittaker, 1955</t>
  </si>
  <si>
    <t>crop code</t>
  </si>
  <si>
    <t>max</t>
  </si>
  <si>
    <t>Jones, et al. 1982</t>
  </si>
  <si>
    <t>Needelman et al, 1999</t>
  </si>
  <si>
    <t>lo</t>
  </si>
  <si>
    <t>l/l</t>
  </si>
  <si>
    <t>TOC</t>
  </si>
  <si>
    <t>MBC</t>
  </si>
  <si>
    <t>opt P</t>
  </si>
  <si>
    <t>T</t>
  </si>
  <si>
    <t>Climate Class</t>
  </si>
  <si>
    <t>class</t>
  </si>
  <si>
    <t>Season</t>
  </si>
  <si>
    <t xml:space="preserve">Not all entered- may need to enter specific pH optima and ranges </t>
  </si>
  <si>
    <t>ex. crop codes for BIFS</t>
  </si>
  <si>
    <t>Fe2O3 class</t>
  </si>
  <si>
    <t>Ultisols</t>
  </si>
  <si>
    <t>all other suboders</t>
  </si>
  <si>
    <t xml:space="preserve"> </t>
  </si>
  <si>
    <t>safflower</t>
  </si>
  <si>
    <t>BD</t>
  </si>
  <si>
    <t>REGION</t>
  </si>
  <si>
    <t>hi</t>
  </si>
  <si>
    <t>0-2</t>
  </si>
  <si>
    <t>fescue</t>
  </si>
  <si>
    <t>corn</t>
  </si>
  <si>
    <t>wheat</t>
  </si>
  <si>
    <t>Aquands</t>
  </si>
  <si>
    <t>Xerands</t>
  </si>
  <si>
    <t>soybean</t>
  </si>
  <si>
    <t>tomatoes</t>
  </si>
  <si>
    <t>slope class</t>
  </si>
  <si>
    <t>silty clay</t>
  </si>
  <si>
    <t>lo T, hi ppt</t>
  </si>
  <si>
    <t>P Index pubs</t>
  </si>
  <si>
    <t>Havlin et al 1999 text</t>
  </si>
  <si>
    <t>Smith &amp; Doran 1996</t>
  </si>
  <si>
    <t>satT</t>
  </si>
  <si>
    <t>method</t>
  </si>
  <si>
    <t xml:space="preserve">crop </t>
  </si>
  <si>
    <t>barley</t>
  </si>
  <si>
    <t>barley2</t>
  </si>
  <si>
    <t>default dT = fxn (T)</t>
  </si>
  <si>
    <t>if T &lt; 2 , then dT = 15</t>
  </si>
  <si>
    <t>if T &gt; 5, then dT = 5</t>
  </si>
  <si>
    <t>if 2 &lt; T &lt; 5, then dT = 10</t>
  </si>
  <si>
    <t>NOTES:</t>
  </si>
  <si>
    <t>order</t>
  </si>
  <si>
    <t>max range</t>
  </si>
  <si>
    <t>climate</t>
  </si>
  <si>
    <t>.</t>
  </si>
  <si>
    <t>m</t>
  </si>
  <si>
    <t>Wolf and Baker 1985</t>
  </si>
  <si>
    <t>Franzluebbers et al. 1996</t>
  </si>
  <si>
    <t>OR</t>
  </si>
  <si>
    <t>2 to 4</t>
  </si>
  <si>
    <t>4 to 8</t>
  </si>
  <si>
    <t>8 to 16</t>
  </si>
  <si>
    <t>16+</t>
  </si>
  <si>
    <t>seasonxclimate</t>
  </si>
  <si>
    <t>f</t>
  </si>
  <si>
    <t>c1*c2*c3</t>
  </si>
  <si>
    <t>2.2 h/l</t>
  </si>
  <si>
    <t>2.3 l/h</t>
  </si>
  <si>
    <t>2.4 l/l</t>
  </si>
  <si>
    <t>Algorithm description:</t>
  </si>
  <si>
    <t>Electrical Conductivity (EC)</t>
  </si>
  <si>
    <t>Password to unlock sheet is: EC</t>
  </si>
  <si>
    <t>Microbial Biomass Carbon (MBC)</t>
  </si>
  <si>
    <t>Password to unlock sheet is: MBC</t>
  </si>
  <si>
    <t>Total Organic Carbon (TOC)</t>
  </si>
  <si>
    <t>Sodium Adsorption Ratio (SAR)</t>
  </si>
  <si>
    <t>Password to unlock sheet is: SAR</t>
  </si>
  <si>
    <t>Soil Test or Extractable Soil Phosphorus (soil P)</t>
  </si>
  <si>
    <t>Password to unlock sheet is: PMN</t>
  </si>
  <si>
    <t>Password to unlock sheet is: pH</t>
  </si>
  <si>
    <t>Soil Solution pH (pH)</t>
  </si>
  <si>
    <t>Example Curves:</t>
  </si>
  <si>
    <t xml:space="preserve">Example: </t>
  </si>
  <si>
    <t>om</t>
  </si>
  <si>
    <t>clim</t>
  </si>
  <si>
    <t>h(climate)</t>
  </si>
  <si>
    <t>Site-Specific Factor Tables (FT):</t>
  </si>
  <si>
    <t>med</t>
  </si>
  <si>
    <t>g</t>
  </si>
  <si>
    <t>e</t>
  </si>
  <si>
    <t>ECInput</t>
  </si>
  <si>
    <t>Pmethod</t>
  </si>
  <si>
    <t>weatheringClass</t>
  </si>
  <si>
    <t>methodFactor</t>
  </si>
  <si>
    <t>Parameter Tables in Database:</t>
  </si>
  <si>
    <t>txtClass</t>
  </si>
  <si>
    <t>omClass</t>
  </si>
  <si>
    <t>f(crop)a'</t>
  </si>
  <si>
    <t>f(crop)b'</t>
  </si>
  <si>
    <t>f(crop)c'</t>
  </si>
  <si>
    <t>slope</t>
  </si>
  <si>
    <t>below.3</t>
  </si>
  <si>
    <t>between.3&amp;T</t>
  </si>
  <si>
    <t>aboveT</t>
  </si>
  <si>
    <t>below.17</t>
  </si>
  <si>
    <t>climClass</t>
  </si>
  <si>
    <t>f(om)</t>
  </si>
  <si>
    <t>h(clim)</t>
  </si>
  <si>
    <t>1=sand, loamy sand, or sandy loam (with &lt; 8% clay)</t>
  </si>
  <si>
    <t>2=sandy loam (with &gt;8% clay), sandy clay loam, or loam</t>
  </si>
  <si>
    <t>4= sandy clay, clay loam, silty clay loam, silty clay, or clay (with &lt;60% clay)</t>
  </si>
  <si>
    <t xml:space="preserve">Using a logic statement, the program chooses between two sets of parameters for the scoring algorithms based on method of detection, saturate paste or 1:1 solution. </t>
  </si>
  <si>
    <t>If ECsat is selected by the user, the program uses the following algorithms and parameters.</t>
  </si>
  <si>
    <t>If EC1:1 is selected by the user, the program uses the following algorithms and parameters:</t>
  </si>
  <si>
    <t xml:space="preserve">If ECsat &lt;= 0.3, THEN y = 3.33 * ECsat; </t>
  </si>
  <si>
    <t>IF 0.3 &lt; ECsat &lt; T, THEN y = 1</t>
  </si>
  <si>
    <r>
      <t>IF 0.17 &lt; EC</t>
    </r>
    <r>
      <rPr>
        <b/>
        <vertAlign val="subscript"/>
        <sz val="9"/>
        <rFont val="Geneva"/>
      </rPr>
      <t>1:1</t>
    </r>
    <r>
      <rPr>
        <b/>
        <sz val="9"/>
        <rFont val="Geneva"/>
      </rPr>
      <t xml:space="preserve"> &lt; T, THEN y = 1</t>
    </r>
  </si>
  <si>
    <r>
      <t>b</t>
    </r>
    <r>
      <rPr>
        <b/>
        <vertAlign val="subscript"/>
        <sz val="9"/>
        <rFont val="Geneva"/>
      </rPr>
      <t>1:1</t>
    </r>
    <r>
      <rPr>
        <sz val="9"/>
        <rFont val="Geneva"/>
      </rPr>
      <t xml:space="preserve"> is the y-intercept for the linear fxn that describes the score when EC</t>
    </r>
    <r>
      <rPr>
        <vertAlign val="subscript"/>
        <sz val="9"/>
        <rFont val="Geneva"/>
      </rPr>
      <t>1:1</t>
    </r>
    <r>
      <rPr>
        <sz val="9"/>
        <rFont val="Geneva"/>
      </rPr>
      <t>&gt;T</t>
    </r>
    <r>
      <rPr>
        <vertAlign val="subscript"/>
        <sz val="9"/>
        <rFont val="Geneva"/>
      </rPr>
      <t>1:1</t>
    </r>
    <r>
      <rPr>
        <sz val="9"/>
        <rFont val="Geneva"/>
      </rPr>
      <t xml:space="preserve"> - it is solved as </t>
    </r>
    <r>
      <rPr>
        <b/>
        <sz val="9"/>
        <rFont val="Geneva"/>
      </rPr>
      <t>b</t>
    </r>
    <r>
      <rPr>
        <b/>
        <vertAlign val="subscript"/>
        <sz val="9"/>
        <rFont val="Geneva"/>
      </rPr>
      <t xml:space="preserve">1:1 </t>
    </r>
    <r>
      <rPr>
        <b/>
        <sz val="9"/>
        <rFont val="Geneva"/>
      </rPr>
      <t>= 1 - m * T</t>
    </r>
    <r>
      <rPr>
        <b/>
        <vertAlign val="subscript"/>
        <sz val="9"/>
        <rFont val="Geneva"/>
      </rPr>
      <t>1:1</t>
    </r>
    <r>
      <rPr>
        <b/>
        <sz val="9"/>
        <rFont val="Geneva"/>
      </rPr>
      <t xml:space="preserve"> </t>
    </r>
  </si>
  <si>
    <r>
      <t xml:space="preserve">The site-specific parameter for the </t>
    </r>
    <r>
      <rPr>
        <b/>
        <sz val="9"/>
        <rFont val="Geneva"/>
      </rPr>
      <t xml:space="preserve">MMF fxn </t>
    </r>
    <r>
      <rPr>
        <sz val="9"/>
        <rFont val="Geneva"/>
      </rPr>
      <t>i</t>
    </r>
    <r>
      <rPr>
        <sz val="9"/>
        <rFont val="Geneva"/>
      </rPr>
      <t>s is b. The value of d is influenced by the sample's soil texture (b1) &amp; OM class (b2).</t>
    </r>
  </si>
  <si>
    <t>FACTOR 1 TABLE</t>
  </si>
  <si>
    <t>b1</t>
  </si>
  <si>
    <t>AWC FT 1: TXT class</t>
  </si>
  <si>
    <t>b1 (arid)</t>
  </si>
  <si>
    <t>d (humid region)</t>
  </si>
  <si>
    <t xml:space="preserve">f(txt) </t>
  </si>
  <si>
    <t>g(om)</t>
  </si>
  <si>
    <t>b2 (arid)</t>
  </si>
  <si>
    <t>AGG FT 2: OM class</t>
  </si>
  <si>
    <t>sandy Aridisol</t>
  </si>
  <si>
    <t>minClass</t>
  </si>
  <si>
    <t>f(txt)</t>
  </si>
  <si>
    <t>g(min)</t>
  </si>
  <si>
    <t>Bulk Density (BD)</t>
  </si>
  <si>
    <t>Password to unlock sheet is: BD</t>
  </si>
  <si>
    <t>(Grossman et al., 2001)</t>
  </si>
  <si>
    <t>Borolls</t>
  </si>
  <si>
    <t>loamy sand</t>
  </si>
  <si>
    <t>Boralfs</t>
  </si>
  <si>
    <t>sandy loam</t>
  </si>
  <si>
    <t>hi T, hi ppt</t>
  </si>
  <si>
    <t>lo T, lo ppt</t>
  </si>
  <si>
    <t>hot wet Argid</t>
  </si>
  <si>
    <t>cold dry Argid</t>
  </si>
  <si>
    <t>loamy Boroll</t>
  </si>
  <si>
    <t>clayey Boroll</t>
  </si>
  <si>
    <t>loamy Boralf</t>
  </si>
  <si>
    <t>Using logic statements, the program chooses between scoring algorithms based on measured EC.</t>
  </si>
  <si>
    <r>
      <t>IF 0.2 &lt; ECsat &lt; 0.55, THEN y = 0.8+0.01299*SAR -0.067*SAR</t>
    </r>
    <r>
      <rPr>
        <b/>
        <vertAlign val="superscript"/>
        <sz val="12"/>
        <rFont val="Geneva"/>
      </rPr>
      <t>2</t>
    </r>
    <r>
      <rPr>
        <b/>
        <sz val="9"/>
        <rFont val="Geneva"/>
      </rPr>
      <t xml:space="preserve"> +0.0257*SAR</t>
    </r>
    <r>
      <rPr>
        <b/>
        <vertAlign val="superscript"/>
        <sz val="12"/>
        <rFont val="Geneva"/>
      </rPr>
      <t>3</t>
    </r>
    <r>
      <rPr>
        <b/>
        <sz val="9"/>
        <rFont val="Geneva"/>
      </rPr>
      <t xml:space="preserve"> -0.00536*SAR</t>
    </r>
    <r>
      <rPr>
        <b/>
        <vertAlign val="superscript"/>
        <sz val="12"/>
        <rFont val="Geneva"/>
      </rPr>
      <t xml:space="preserve">4 </t>
    </r>
    <r>
      <rPr>
        <b/>
        <sz val="9"/>
        <rFont val="Geneva"/>
      </rPr>
      <t>+0.000547*SAR</t>
    </r>
    <r>
      <rPr>
        <b/>
        <vertAlign val="superscript"/>
        <sz val="12"/>
        <rFont val="Geneva"/>
      </rPr>
      <t>5</t>
    </r>
    <r>
      <rPr>
        <b/>
        <sz val="9"/>
        <rFont val="Geneva"/>
      </rPr>
      <t xml:space="preserve"> -0.0000211*SAR</t>
    </r>
    <r>
      <rPr>
        <b/>
        <vertAlign val="superscript"/>
        <sz val="12"/>
        <rFont val="Geneva"/>
      </rPr>
      <t>6</t>
    </r>
  </si>
  <si>
    <r>
      <t>If ECsat &lt;= 0.2, THEN y = 1 / (4.056 + 0.793 * (SAR</t>
    </r>
    <r>
      <rPr>
        <b/>
        <vertAlign val="superscript"/>
        <sz val="12"/>
        <rFont val="Geneva"/>
      </rPr>
      <t>3.05</t>
    </r>
    <r>
      <rPr>
        <b/>
        <sz val="9"/>
        <rFont val="Geneva"/>
      </rPr>
      <t xml:space="preserve">)) </t>
    </r>
  </si>
  <si>
    <r>
      <t>I</t>
    </r>
    <r>
      <rPr>
        <b/>
        <sz val="9"/>
        <rFont val="Geneva"/>
      </rPr>
      <t>F ECsat &gt;= 0.55, THEN y = 1.0 -0.0702*SAR +0.012*SAR</t>
    </r>
    <r>
      <rPr>
        <b/>
        <vertAlign val="superscript"/>
        <sz val="12"/>
        <rFont val="Geneva"/>
      </rPr>
      <t>2</t>
    </r>
    <r>
      <rPr>
        <b/>
        <sz val="9"/>
        <rFont val="Geneva"/>
      </rPr>
      <t xml:space="preserve"> -0.00068*SAR</t>
    </r>
    <r>
      <rPr>
        <b/>
        <vertAlign val="superscript"/>
        <sz val="12"/>
        <rFont val="Geneva"/>
      </rPr>
      <t>3</t>
    </r>
    <r>
      <rPr>
        <b/>
        <sz val="9"/>
        <rFont val="Geneva"/>
      </rPr>
      <t xml:space="preserve"> -0.000024*SAR</t>
    </r>
    <r>
      <rPr>
        <b/>
        <vertAlign val="superscript"/>
        <sz val="12"/>
        <rFont val="Geneva"/>
      </rPr>
      <t>4</t>
    </r>
  </si>
  <si>
    <t>Try adding other combinations to test algorithm and factors.</t>
  </si>
  <si>
    <r>
      <t>b</t>
    </r>
    <r>
      <rPr>
        <sz val="9"/>
        <rFont val="Geneva"/>
      </rPr>
      <t xml:space="preserve"> is the y-intercept for the linear fxn that describes the score when ECsat&gt;T - it is solved as </t>
    </r>
    <r>
      <rPr>
        <b/>
        <sz val="9"/>
        <rFont val="Geneva"/>
      </rPr>
      <t>b = 1 - mT</t>
    </r>
    <r>
      <rPr>
        <sz val="9"/>
        <rFont val="Geneva"/>
      </rPr>
      <t xml:space="preserve"> </t>
    </r>
  </si>
  <si>
    <r>
      <t>IF EC</t>
    </r>
    <r>
      <rPr>
        <b/>
        <vertAlign val="subscript"/>
        <sz val="9"/>
        <rFont val="Geneva"/>
      </rPr>
      <t>1:1</t>
    </r>
    <r>
      <rPr>
        <b/>
        <sz val="9"/>
        <rFont val="Geneva"/>
      </rPr>
      <t xml:space="preserve"> &lt;= 0.17, THEN y = 5.88 * EC</t>
    </r>
    <r>
      <rPr>
        <b/>
        <vertAlign val="subscript"/>
        <sz val="9"/>
        <rFont val="Geneva"/>
      </rPr>
      <t>1:1</t>
    </r>
  </si>
  <si>
    <r>
      <t>where</t>
    </r>
    <r>
      <rPr>
        <b/>
        <sz val="9"/>
        <rFont val="Geneva"/>
      </rPr>
      <t xml:space="preserve"> T </t>
    </r>
    <r>
      <rPr>
        <sz val="9"/>
        <rFont val="Geneva"/>
      </rPr>
      <t>is the crop-specific threshold beyond which yield decreases are expected to occur;</t>
    </r>
  </si>
  <si>
    <r>
      <t>dT</t>
    </r>
    <r>
      <rPr>
        <sz val="9"/>
        <rFont val="Geneva"/>
      </rPr>
      <t xml:space="preserve"> is the crop-specifc rate of decrease in yield when EC&gt;T (Smith &amp; Doran 1996);</t>
    </r>
  </si>
  <si>
    <t>dT</t>
  </si>
  <si>
    <t>EClevel</t>
  </si>
  <si>
    <r>
      <t>T</t>
    </r>
    <r>
      <rPr>
        <i/>
        <vertAlign val="subscript"/>
        <sz val="10"/>
        <rFont val="Arial"/>
        <family val="2"/>
      </rPr>
      <t>1:1</t>
    </r>
    <r>
      <rPr>
        <i/>
        <sz val="10"/>
        <rFont val="Arial"/>
        <family val="2"/>
      </rPr>
      <t xml:space="preserve"> sand </t>
    </r>
  </si>
  <si>
    <t xml:space="preserve">different sources report different T&amp;dT </t>
  </si>
  <si>
    <t>Enter crop:</t>
  </si>
  <si>
    <t>MBC FT 1: OM class</t>
  </si>
  <si>
    <t>c2</t>
  </si>
  <si>
    <t xml:space="preserve">MBC Factor Table 3 </t>
  </si>
  <si>
    <t>season code:climate code</t>
  </si>
  <si>
    <t>2.1 = summer in hi temp/hi ppt climate</t>
  </si>
  <si>
    <t>NOTE:</t>
  </si>
  <si>
    <t>3.2 h/l</t>
  </si>
  <si>
    <t>3.3 l/h</t>
  </si>
  <si>
    <t>3.4 l/l</t>
  </si>
  <si>
    <t>4.2 h/l</t>
  </si>
  <si>
    <t>4.3 l/h</t>
  </si>
  <si>
    <t>4.4 l/l</t>
  </si>
  <si>
    <t>c3</t>
  </si>
  <si>
    <t>The exponential algorithm used to interpret MBC is influenced by inherent soil OM, soil texture, season and climate.</t>
  </si>
  <si>
    <t>The fixed parameters are:</t>
  </si>
  <si>
    <t>The site-specific parameter is c, where</t>
  </si>
  <si>
    <r>
      <t xml:space="preserve">c1= </t>
    </r>
    <r>
      <rPr>
        <b/>
        <i/>
        <sz val="9"/>
        <rFont val="Geneva"/>
      </rPr>
      <t>f</t>
    </r>
    <r>
      <rPr>
        <b/>
        <sz val="9"/>
        <rFont val="Geneva"/>
      </rPr>
      <t>(OM Class)</t>
    </r>
  </si>
  <si>
    <r>
      <t xml:space="preserve">c2= </t>
    </r>
    <r>
      <rPr>
        <b/>
        <i/>
        <sz val="9"/>
        <rFont val="Geneva"/>
      </rPr>
      <t>g</t>
    </r>
    <r>
      <rPr>
        <b/>
        <sz val="9"/>
        <rFont val="Geneva"/>
      </rPr>
      <t>(Texture Class)</t>
    </r>
  </si>
  <si>
    <r>
      <t xml:space="preserve">c3= </t>
    </r>
    <r>
      <rPr>
        <b/>
        <i/>
        <sz val="9"/>
        <rFont val="Geneva"/>
      </rPr>
      <t>h</t>
    </r>
    <r>
      <rPr>
        <b/>
        <sz val="9"/>
        <rFont val="Geneva"/>
      </rPr>
      <t>(season, climate)</t>
    </r>
  </si>
  <si>
    <t>seasXclimClass</t>
  </si>
  <si>
    <t>h(seasxclim)</t>
  </si>
  <si>
    <t>MBC FT 2: texture class</t>
  </si>
  <si>
    <t>sampled in winter in a hi temp/hi ppt climate.</t>
  </si>
  <si>
    <t>Trying adding other combinations to test algorithm and factors.</t>
  </si>
  <si>
    <t>Shows range of outcomes for one value given differing site-specific factors.</t>
  </si>
  <si>
    <r>
      <t>X is the measured bulk density (g cm</t>
    </r>
    <r>
      <rPr>
        <vertAlign val="superscript"/>
        <sz val="9"/>
        <rFont val="Geneva"/>
      </rPr>
      <t>-3</t>
    </r>
    <r>
      <rPr>
        <sz val="9"/>
        <rFont val="Geneva"/>
      </rPr>
      <t xml:space="preserve">). Y is the interpretation score. </t>
    </r>
  </si>
  <si>
    <t>If texture class &lt; 4, then parameters b1, c1 and d1 are used. (Minerology is not considered.)</t>
  </si>
  <si>
    <r>
      <t>y = a / 1 + b * exp</t>
    </r>
    <r>
      <rPr>
        <b/>
        <vertAlign val="superscript"/>
        <sz val="10"/>
        <rFont val="Geneva"/>
      </rPr>
      <t>(</t>
    </r>
    <r>
      <rPr>
        <b/>
        <vertAlign val="superscript"/>
        <sz val="12"/>
        <rFont val="Geneva"/>
      </rPr>
      <t>-cx</t>
    </r>
    <r>
      <rPr>
        <b/>
        <vertAlign val="superscript"/>
        <sz val="10"/>
        <rFont val="Geneva"/>
      </rPr>
      <t>)</t>
    </r>
  </si>
  <si>
    <t>Scoring curve is a logistic function:</t>
  </si>
  <si>
    <r>
      <t xml:space="preserve">y = a / 1+b * exp </t>
    </r>
    <r>
      <rPr>
        <vertAlign val="superscript"/>
        <sz val="12"/>
        <rFont val="Geneva"/>
      </rPr>
      <t>-c * TOC</t>
    </r>
  </si>
  <si>
    <t xml:space="preserve">TOC (or X) is the measured total organic C (%). Y is the interpretation score. </t>
  </si>
  <si>
    <t>The fixed parameters are a and b, where</t>
  </si>
  <si>
    <t xml:space="preserve">The site-specific parameter is c. </t>
  </si>
  <si>
    <t>The value of c is influenced by the sample's inherent OM class (c1), soil texture (c2), and climate (c3).</t>
  </si>
  <si>
    <t>USDA, 1966</t>
  </si>
  <si>
    <t>STATSGO, US Soil Survey</t>
  </si>
  <si>
    <t>TOC Factor Table 1: OM class</t>
  </si>
  <si>
    <t>TOC FT 2: Texture</t>
  </si>
  <si>
    <t>TOC FT 2: Climate</t>
  </si>
  <si>
    <t>The scoring algorithm is logistic fxn:</t>
  </si>
  <si>
    <t>ex.</t>
  </si>
  <si>
    <t xml:space="preserve">Factor example : 2,2,4.1 could be a Udoll with a loamy texture, </t>
  </si>
  <si>
    <t xml:space="preserve">Ex. </t>
  </si>
  <si>
    <t>Interpretation for soil P is performed using a series of algroithms and logic statements.</t>
  </si>
  <si>
    <t xml:space="preserve">IF (soilP * methodfactor) &lt;= Pmax, </t>
  </si>
  <si>
    <t>Chickasaw Silt Loam</t>
  </si>
  <si>
    <t>Memphis&amp;Chickasaw</t>
  </si>
  <si>
    <t>Chickasaw</t>
  </si>
  <si>
    <t>Codes for crop &amp; rotation entered directly (see CropFactor sheet)</t>
  </si>
  <si>
    <t>Rotation code</t>
  </si>
  <si>
    <t>Crop code</t>
  </si>
  <si>
    <t>vlooup table</t>
  </si>
  <si>
    <t>vlookup based on 1:1.5 soil:water</t>
  </si>
  <si>
    <t>SAR  INTERPR'N</t>
  </si>
  <si>
    <t>β-1,4 GLUCOSIDASE (BG) ACTIVITY INTERPRETATION</t>
  </si>
  <si>
    <t xml:space="preserve">vlookup table for </t>
  </si>
  <si>
    <t>Use the least toloerant crops in the rotation.</t>
  </si>
  <si>
    <t>vlookup tbl</t>
  </si>
  <si>
    <t>Physical SQI</t>
  </si>
  <si>
    <t>Chemical SQI</t>
  </si>
  <si>
    <t>Biological SQI</t>
  </si>
  <si>
    <t>Nutrient SQI</t>
  </si>
  <si>
    <t>EXT_P</t>
  </si>
  <si>
    <t>EXT_K</t>
  </si>
  <si>
    <t>Biological &amp; Biochemical</t>
  </si>
  <si>
    <t>calculated from highlighted scores</t>
  </si>
  <si>
    <t xml:space="preserve">. </t>
  </si>
  <si>
    <t>Not Determined</t>
  </si>
  <si>
    <t>Not Detectable</t>
  </si>
  <si>
    <t>---------------------------- USE "." FOR MISSING VALUES ----------------------------</t>
  </si>
  <si>
    <t>AUTMATICALLY ADJUST FORMULAS TO REFLECT THE INDICATORS THAT YOU MEASURED</t>
  </si>
  <si>
    <t>"." is for missing values (not determined)</t>
  </si>
  <si>
    <t>Negative Nmin values set to 0.0001</t>
  </si>
  <si>
    <t>Upper Snake Rock Basin</t>
  </si>
  <si>
    <t>(Sampled 9/23-28/2009)</t>
  </si>
  <si>
    <t>Latitude</t>
  </si>
  <si>
    <t>Longitude</t>
  </si>
  <si>
    <t>Elevation (ft)</t>
  </si>
  <si>
    <t>Sampling Position</t>
  </si>
  <si>
    <t>Field Position</t>
  </si>
  <si>
    <t>Irrigation Type</t>
  </si>
  <si>
    <t>Sampling Depth</t>
  </si>
  <si>
    <t>See comment boxes for acronym definitions</t>
  </si>
  <si>
    <t>Tilage</t>
  </si>
  <si>
    <t>Crop</t>
  </si>
  <si>
    <t>Slope (%)</t>
  </si>
  <si>
    <t>Rep.</t>
  </si>
  <si>
    <t>ARID LRRs (B-J)</t>
  </si>
  <si>
    <t>HUMID LRRs (A,K-V)</t>
  </si>
  <si>
    <t>Sampling Location</t>
  </si>
  <si>
    <t>According to Google Earth, these sites are in Field #8, not #11</t>
  </si>
  <si>
    <t>might combine chemica and nutrient factors.</t>
  </si>
  <si>
    <t>"."=missing data</t>
  </si>
  <si>
    <t>Overall Chemical</t>
  </si>
  <si>
    <t>Field</t>
  </si>
  <si>
    <t>Sample (repetition)</t>
  </si>
  <si>
    <t>Land Use</t>
  </si>
  <si>
    <t>Crop at sampling time</t>
  </si>
  <si>
    <t>Management</t>
  </si>
  <si>
    <t>Lat_17S</t>
  </si>
  <si>
    <t>Native Vegetation</t>
  </si>
  <si>
    <t>natural</t>
  </si>
  <si>
    <t>no management</t>
  </si>
  <si>
    <t>Pasture</t>
  </si>
  <si>
    <t>grazing/degraded</t>
  </si>
  <si>
    <t>Sugarcane</t>
  </si>
  <si>
    <t>full growth</t>
  </si>
  <si>
    <t>conventional tillage</t>
  </si>
  <si>
    <t>Lat_21S</t>
  </si>
  <si>
    <t>low fertilization</t>
  </si>
  <si>
    <t>Lat_23S</t>
  </si>
  <si>
    <r>
      <t>POT. MINERALIZABLE N (N</t>
    </r>
    <r>
      <rPr>
        <vertAlign val="subscript"/>
        <sz val="12"/>
        <rFont val="Times New Roman"/>
        <family val="1"/>
      </rPr>
      <t>MIN</t>
    </r>
    <r>
      <rPr>
        <sz val="12"/>
        <rFont val="Times New Roman"/>
        <family val="1"/>
      </rPr>
      <t>) INTERPRETATION</t>
    </r>
  </si>
  <si>
    <r>
      <t>prelim. P</t>
    </r>
    <r>
      <rPr>
        <vertAlign val="subscript"/>
        <sz val="12"/>
        <rFont val="Times New Roman"/>
        <family val="1"/>
      </rPr>
      <t>SOC</t>
    </r>
    <r>
      <rPr>
        <sz val="12"/>
        <rFont val="Times New Roman"/>
        <family val="1"/>
      </rPr>
      <t xml:space="preserve"> score</t>
    </r>
  </si>
  <si>
    <r>
      <t>prelim P</t>
    </r>
    <r>
      <rPr>
        <vertAlign val="subscript"/>
        <sz val="12"/>
        <rFont val="Times New Roman"/>
        <family val="1"/>
      </rPr>
      <t>OMclass</t>
    </r>
    <r>
      <rPr>
        <sz val="12"/>
        <rFont val="Times New Roman"/>
        <family val="1"/>
      </rPr>
      <t xml:space="preserve"> score</t>
    </r>
  </si>
  <si>
    <r>
      <t>pH (H</t>
    </r>
    <r>
      <rPr>
        <vertAlign val="subscript"/>
        <sz val="12"/>
        <rFont val="Times New Roman"/>
        <family val="1"/>
      </rPr>
      <t>2</t>
    </r>
    <r>
      <rPr>
        <sz val="12"/>
        <rFont val="Times New Roman"/>
        <family val="1"/>
      </rPr>
      <t>O)</t>
    </r>
  </si>
  <si>
    <r>
      <t>Fe</t>
    </r>
    <r>
      <rPr>
        <vertAlign val="subscript"/>
        <sz val="12"/>
        <rFont val="Times New Roman"/>
        <family val="1"/>
      </rPr>
      <t>2</t>
    </r>
    <r>
      <rPr>
        <sz val="12"/>
        <rFont val="Times New Roman"/>
        <family val="1"/>
      </rPr>
      <t>O</t>
    </r>
    <r>
      <rPr>
        <vertAlign val="subscript"/>
        <sz val="12"/>
        <rFont val="Times New Roman"/>
        <family val="1"/>
      </rPr>
      <t>3</t>
    </r>
    <r>
      <rPr>
        <sz val="12"/>
        <rFont val="Times New Roman"/>
        <family val="1"/>
      </rPr>
      <t xml:space="preserve"> FP</t>
    </r>
  </si>
  <si>
    <r>
      <t>Crop FP (2) (b</t>
    </r>
    <r>
      <rPr>
        <vertAlign val="subscript"/>
        <sz val="12"/>
        <rFont val="Times New Roman"/>
        <family val="1"/>
      </rPr>
      <t>initial</t>
    </r>
    <r>
      <rPr>
        <sz val="12"/>
        <rFont val="Times New Roman"/>
        <family val="1"/>
      </rPr>
      <t>)</t>
    </r>
  </si>
  <si>
    <r>
      <t>para-meter b</t>
    </r>
    <r>
      <rPr>
        <vertAlign val="subscript"/>
        <sz val="12"/>
        <rFont val="Times New Roman"/>
        <family val="1"/>
      </rPr>
      <t>SOC</t>
    </r>
  </si>
  <si>
    <r>
      <t>Para-meter b</t>
    </r>
    <r>
      <rPr>
        <vertAlign val="subscript"/>
        <sz val="12"/>
        <rFont val="Times New Roman"/>
        <family val="1"/>
      </rPr>
      <t>OMclass</t>
    </r>
  </si>
  <si>
    <r>
      <t>P</t>
    </r>
    <r>
      <rPr>
        <vertAlign val="subscript"/>
        <sz val="12"/>
        <rFont val="Times New Roman"/>
        <family val="1"/>
      </rPr>
      <t>SOC</t>
    </r>
    <r>
      <rPr>
        <sz val="12"/>
        <rFont val="Times New Roman"/>
        <family val="1"/>
      </rPr>
      <t xml:space="preserve"> score</t>
    </r>
  </si>
  <si>
    <r>
      <t>P</t>
    </r>
    <r>
      <rPr>
        <vertAlign val="subscript"/>
        <sz val="12"/>
        <rFont val="Times New Roman"/>
        <family val="1"/>
      </rPr>
      <t xml:space="preserve">OMclass </t>
    </r>
    <r>
      <rPr>
        <sz val="12"/>
        <rFont val="Times New Roman"/>
        <family val="1"/>
      </rPr>
      <t>score</t>
    </r>
  </si>
  <si>
    <r>
      <t>P</t>
    </r>
    <r>
      <rPr>
        <vertAlign val="subscript"/>
        <sz val="12"/>
        <color indexed="9"/>
        <rFont val="Times New Roman"/>
        <family val="1"/>
      </rPr>
      <t>SOC</t>
    </r>
    <r>
      <rPr>
        <sz val="12"/>
        <color indexed="9"/>
        <rFont val="Times New Roman"/>
        <family val="1"/>
      </rPr>
      <t xml:space="preserve"> score</t>
    </r>
  </si>
  <si>
    <r>
      <t>P</t>
    </r>
    <r>
      <rPr>
        <vertAlign val="subscript"/>
        <sz val="12"/>
        <color indexed="9"/>
        <rFont val="Times New Roman"/>
        <family val="1"/>
      </rPr>
      <t xml:space="preserve">OMclass </t>
    </r>
    <r>
      <rPr>
        <sz val="12"/>
        <color indexed="9"/>
        <rFont val="Times New Roman"/>
        <family val="1"/>
      </rPr>
      <t>score</t>
    </r>
  </si>
  <si>
    <t>BCerrado</t>
  </si>
  <si>
    <t>BAtlantic Forest</t>
  </si>
  <si>
    <t>Bbrachiaria</t>
  </si>
  <si>
    <t>Bsugarcane</t>
  </si>
  <si>
    <t>Cerrado vegetation</t>
  </si>
  <si>
    <t>Atlantic forest</t>
  </si>
  <si>
    <t>Brachiaria spp.</t>
  </si>
  <si>
    <t>Added crops factor for Braziliam natural vegetation, tropical grass and sugarcane (Mauricio Cherubin)</t>
  </si>
  <si>
    <t>Changed resin method factor [method_factor = f(Pmethod (5), weathering class(2))] from 3.1 to 1.25, to avoid overestimating the P scores under Braziliam tropical soils. (Mauricio Cherubin)</t>
  </si>
  <si>
    <t>Column BT [Crop FP (2) (binitial)], changed b' from +39.579185 to -39.579185 (Mauricio Cherubin)</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</si>
</sst>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0.00000"/>
    <numFmt numFmtId="166" formatCode="0.000"/>
    <numFmt numFmtId="167" formatCode="0.000000"/>
    <numFmt numFmtId="168" formatCode="0.0000"/>
    <numFmt numFmtId="169" formatCode="mm/dd/yy;@"/>
    <numFmt numFmtId="170" formatCode="[$-409]d\-mmm\-yy;@"/>
  </numFmts>
  <fonts count="182">
    <font>
      <sz val="9"/>
      <name val="Geneva"/>
    </font>
    <font>
      <sz val="11"/>
      <color theme="1"/>
      <name val="Calibri"/>
      <family val="2"/>
      <scheme val="minor"/>
    </font>
    <font>
      <sz val="11"/>
      <color indexed="8"/>
      <name val="Calibri"/>
      <family val="2"/>
    </font>
    <font>
      <sz val="11"/>
      <color indexed="8"/>
      <name val="Calibri"/>
      <family val="2"/>
    </font>
    <font>
      <sz val="12"/>
      <color indexed="8"/>
      <name val="Comic Sans MS"/>
      <family val="2"/>
    </font>
    <font>
      <sz val="12"/>
      <color indexed="8"/>
      <name val="Comic Sans MS"/>
      <family val="2"/>
    </font>
    <font>
      <sz val="12"/>
      <color indexed="8"/>
      <name val="Comic Sans MS"/>
      <family val="2"/>
    </font>
    <font>
      <sz val="12"/>
      <color indexed="8"/>
      <name val="Comic Sans MS"/>
      <family val="2"/>
    </font>
    <font>
      <sz val="11"/>
      <color indexed="8"/>
      <name val="Calibri"/>
      <family val="2"/>
    </font>
    <font>
      <b/>
      <sz val="9"/>
      <name val="Geneva"/>
    </font>
    <font>
      <i/>
      <sz val="9"/>
      <name val="Geneva"/>
    </font>
    <font>
      <b/>
      <i/>
      <sz val="9"/>
      <name val="Geneva"/>
    </font>
    <font>
      <sz val="9"/>
      <name val="Geneva"/>
    </font>
    <font>
      <sz val="10"/>
      <color indexed="8"/>
      <name val="Arial"/>
      <family val="2"/>
    </font>
    <font>
      <sz val="10"/>
      <name val="Arial"/>
      <family val="2"/>
    </font>
    <font>
      <b/>
      <sz val="10"/>
      <name val="Arial"/>
      <family val="2"/>
    </font>
    <font>
      <u/>
      <sz val="10"/>
      <name val="Arial"/>
      <family val="2"/>
    </font>
    <font>
      <i/>
      <sz val="10"/>
      <name val="Arial"/>
      <family val="2"/>
    </font>
    <font>
      <b/>
      <i/>
      <sz val="10"/>
      <name val="Arial"/>
      <family val="2"/>
    </font>
    <font>
      <sz val="10"/>
      <name val="Arial"/>
      <family val="2"/>
    </font>
    <font>
      <b/>
      <u/>
      <sz val="10"/>
      <name val="Arial"/>
      <family val="2"/>
    </font>
    <font>
      <b/>
      <sz val="10"/>
      <color indexed="10"/>
      <name val="Arial"/>
      <family val="2"/>
    </font>
    <font>
      <b/>
      <sz val="10"/>
      <color indexed="16"/>
      <name val="Arial"/>
      <family val="2"/>
    </font>
    <font>
      <b/>
      <sz val="10"/>
      <name val="Arial"/>
      <family val="2"/>
    </font>
    <font>
      <b/>
      <sz val="9"/>
      <color indexed="10"/>
      <name val="Geneva"/>
    </font>
    <font>
      <b/>
      <vertAlign val="subscript"/>
      <sz val="9"/>
      <color indexed="10"/>
      <name val="Geneva"/>
    </font>
    <font>
      <sz val="9"/>
      <color indexed="10"/>
      <name val="Geneva"/>
    </font>
    <font>
      <b/>
      <vertAlign val="subscript"/>
      <sz val="9"/>
      <name val="Geneva"/>
    </font>
    <font>
      <sz val="10"/>
      <color indexed="10"/>
      <name val="Arial"/>
      <family val="2"/>
    </font>
    <font>
      <sz val="8"/>
      <color indexed="81"/>
      <name val="Tahoma"/>
      <family val="2"/>
    </font>
    <font>
      <b/>
      <sz val="8"/>
      <color indexed="81"/>
      <name val="Tahoma"/>
      <family val="2"/>
    </font>
    <font>
      <b/>
      <u/>
      <sz val="12"/>
      <name val="Arial"/>
      <family val="2"/>
    </font>
    <font>
      <b/>
      <sz val="12"/>
      <name val="Arial"/>
      <family val="2"/>
    </font>
    <font>
      <i/>
      <u/>
      <sz val="10"/>
      <name val="Arial"/>
      <family val="2"/>
    </font>
    <font>
      <u/>
      <sz val="9"/>
      <name val="Geneva"/>
    </font>
    <font>
      <b/>
      <vertAlign val="superscript"/>
      <sz val="9"/>
      <name val="Geneva"/>
    </font>
    <font>
      <sz val="10"/>
      <color indexed="53"/>
      <name val="Arial"/>
      <family val="2"/>
    </font>
    <font>
      <sz val="10"/>
      <color indexed="10"/>
      <name val="Arial"/>
      <family val="2"/>
    </font>
    <font>
      <sz val="9"/>
      <name val="Geneva"/>
    </font>
    <font>
      <vertAlign val="subscript"/>
      <sz val="9"/>
      <name val="Geneva"/>
    </font>
    <font>
      <i/>
      <vertAlign val="subscript"/>
      <sz val="10"/>
      <name val="Arial"/>
      <family val="2"/>
    </font>
    <font>
      <b/>
      <vertAlign val="superscript"/>
      <sz val="10"/>
      <name val="Geneva"/>
    </font>
    <font>
      <vertAlign val="superscript"/>
      <sz val="9"/>
      <name val="Geneva"/>
    </font>
    <font>
      <b/>
      <vertAlign val="superscript"/>
      <sz val="12"/>
      <name val="Geneva"/>
    </font>
    <font>
      <vertAlign val="superscript"/>
      <sz val="12"/>
      <name val="Geneva"/>
    </font>
    <font>
      <i/>
      <u/>
      <sz val="10"/>
      <name val="Arial"/>
      <family val="2"/>
    </font>
    <font>
      <b/>
      <i/>
      <u/>
      <sz val="10"/>
      <name val="Arial"/>
      <family val="2"/>
    </font>
    <font>
      <i/>
      <sz val="10"/>
      <name val="Arial"/>
      <family val="2"/>
    </font>
    <font>
      <u/>
      <vertAlign val="subscript"/>
      <sz val="10"/>
      <name val="Arial"/>
      <family val="2"/>
    </font>
    <font>
      <b/>
      <u/>
      <sz val="9"/>
      <name val="Geneva"/>
    </font>
    <font>
      <b/>
      <i/>
      <u/>
      <sz val="10"/>
      <name val="Arial"/>
      <family val="2"/>
    </font>
    <font>
      <sz val="9"/>
      <name val="Geneva"/>
    </font>
    <font>
      <b/>
      <vertAlign val="superscript"/>
      <sz val="12"/>
      <name val="Arial"/>
      <family val="2"/>
    </font>
    <font>
      <b/>
      <i/>
      <sz val="10"/>
      <name val="Arial"/>
      <family val="2"/>
    </font>
    <font>
      <b/>
      <vertAlign val="subscript"/>
      <sz val="12"/>
      <name val="Arial"/>
      <family val="2"/>
    </font>
    <font>
      <vertAlign val="superscript"/>
      <sz val="10"/>
      <name val="Geneva"/>
    </font>
    <font>
      <b/>
      <vertAlign val="superscript"/>
      <sz val="11"/>
      <name val="Geneva"/>
    </font>
    <font>
      <i/>
      <u/>
      <sz val="9"/>
      <name val="Geneva"/>
    </font>
    <font>
      <b/>
      <u/>
      <sz val="9"/>
      <color indexed="10"/>
      <name val="Geneva"/>
    </font>
    <font>
      <sz val="9"/>
      <name val="Arial"/>
      <family val="2"/>
    </font>
    <font>
      <sz val="9"/>
      <name val="Geneva"/>
    </font>
    <font>
      <b/>
      <sz val="9"/>
      <name val="Arial"/>
      <family val="2"/>
    </font>
    <font>
      <b/>
      <i/>
      <sz val="10"/>
      <color indexed="10"/>
      <name val="Arial"/>
      <family val="2"/>
    </font>
    <font>
      <sz val="9"/>
      <color indexed="81"/>
      <name val="Geneva"/>
    </font>
    <font>
      <b/>
      <sz val="9"/>
      <color indexed="81"/>
      <name val="Geneva"/>
    </font>
    <font>
      <vertAlign val="subscript"/>
      <sz val="9"/>
      <color indexed="81"/>
      <name val="Geneva"/>
    </font>
    <font>
      <b/>
      <vertAlign val="subscript"/>
      <sz val="9"/>
      <color indexed="81"/>
      <name val="Geneva"/>
    </font>
    <font>
      <b/>
      <i/>
      <sz val="9"/>
      <color indexed="10"/>
      <name val="Geneva"/>
    </font>
    <font>
      <sz val="12"/>
      <name val="Arial"/>
      <family val="2"/>
    </font>
    <font>
      <vertAlign val="superscript"/>
      <sz val="12"/>
      <name val="Arial"/>
      <family val="2"/>
    </font>
    <font>
      <vertAlign val="superscript"/>
      <sz val="9"/>
      <name val="Arial"/>
      <family val="2"/>
    </font>
    <font>
      <i/>
      <sz val="9"/>
      <name val="Arial"/>
      <family val="2"/>
    </font>
    <font>
      <u/>
      <sz val="9"/>
      <name val="Arial"/>
      <family val="2"/>
    </font>
    <font>
      <b/>
      <sz val="9"/>
      <color indexed="10"/>
      <name val="Arial"/>
      <family val="2"/>
    </font>
    <font>
      <b/>
      <i/>
      <sz val="9"/>
      <name val="Arial"/>
      <family val="2"/>
    </font>
    <font>
      <sz val="9"/>
      <color indexed="10"/>
      <name val="Arial"/>
      <family val="2"/>
    </font>
    <font>
      <sz val="12"/>
      <name val="Arial"/>
      <family val="2"/>
    </font>
    <font>
      <sz val="9"/>
      <color indexed="12"/>
      <name val="Geneva"/>
    </font>
    <font>
      <b/>
      <sz val="9"/>
      <color indexed="12"/>
      <name val="Geneva"/>
    </font>
    <font>
      <vertAlign val="superscript"/>
      <sz val="9"/>
      <color indexed="12"/>
      <name val="Geneva"/>
    </font>
    <font>
      <sz val="9"/>
      <color indexed="49"/>
      <name val="Arial"/>
      <family val="2"/>
    </font>
    <font>
      <sz val="11"/>
      <color indexed="8"/>
      <name val="Arial"/>
      <family val="2"/>
    </font>
    <font>
      <sz val="10"/>
      <name val="Verdana"/>
      <family val="2"/>
    </font>
    <font>
      <sz val="11"/>
      <color indexed="17"/>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u/>
      <sz val="12"/>
      <name val="Geneva"/>
    </font>
    <font>
      <sz val="12"/>
      <name val="Geneva"/>
    </font>
    <font>
      <sz val="9"/>
      <name val="Geneva"/>
      <family val="2"/>
    </font>
    <font>
      <i/>
      <sz val="9"/>
      <name val="Geneva"/>
      <family val="2"/>
    </font>
    <font>
      <b/>
      <vertAlign val="superscript"/>
      <sz val="8"/>
      <name val="Geneva"/>
      <family val="2"/>
    </font>
    <font>
      <b/>
      <sz val="8"/>
      <name val="Geneva"/>
      <family val="2"/>
    </font>
    <font>
      <b/>
      <sz val="9"/>
      <name val="Geneva"/>
      <family val="2"/>
    </font>
    <font>
      <sz val="12"/>
      <color indexed="20"/>
      <name val="Arial"/>
      <family val="2"/>
    </font>
    <font>
      <sz val="11"/>
      <name val="Gill Sans MT"/>
      <family val="2"/>
    </font>
    <font>
      <vertAlign val="subscript"/>
      <sz val="12"/>
      <name val="Geneva"/>
    </font>
    <font>
      <b/>
      <u val="singleAccounting"/>
      <sz val="12"/>
      <name val="Arial"/>
      <family val="2"/>
    </font>
    <font>
      <b/>
      <u val="singleAccounting"/>
      <vertAlign val="subscript"/>
      <sz val="12"/>
      <name val="Arial"/>
      <family val="2"/>
    </font>
    <font>
      <b/>
      <sz val="11"/>
      <name val="Gill Sans MT"/>
      <family val="2"/>
    </font>
    <font>
      <b/>
      <vertAlign val="subscript"/>
      <sz val="11"/>
      <name val="Gill Sans MT"/>
      <family val="2"/>
    </font>
    <font>
      <b/>
      <sz val="9"/>
      <color indexed="10"/>
      <name val="Geneva"/>
    </font>
    <font>
      <sz val="10"/>
      <color indexed="13"/>
      <name val="Arial"/>
      <family val="2"/>
    </font>
    <font>
      <b/>
      <sz val="9"/>
      <color indexed="13"/>
      <name val="Geneva"/>
    </font>
    <font>
      <u/>
      <sz val="11"/>
      <color indexed="12"/>
      <name val="Gill Sans MT"/>
      <family val="2"/>
    </font>
    <font>
      <sz val="11"/>
      <color indexed="9"/>
      <name val="Gill Sans MT"/>
      <family val="2"/>
    </font>
    <font>
      <b/>
      <sz val="11"/>
      <color indexed="9"/>
      <name val="Gill Sans MT"/>
      <family val="2"/>
    </font>
    <font>
      <i/>
      <sz val="11"/>
      <color indexed="9"/>
      <name val="Gill Sans MT"/>
      <family val="2"/>
    </font>
    <font>
      <b/>
      <sz val="8"/>
      <color indexed="10"/>
      <name val="Gill Sans MT"/>
      <family val="2"/>
    </font>
    <font>
      <sz val="12"/>
      <color indexed="8"/>
      <name val="Comic Sans MS"/>
      <family val="2"/>
    </font>
    <font>
      <sz val="11"/>
      <color indexed="8"/>
      <name val="Comic Sans MS"/>
      <family val="4"/>
    </font>
    <font>
      <sz val="11"/>
      <color indexed="8"/>
      <name val="Arial"/>
      <family val="2"/>
    </font>
    <font>
      <sz val="10"/>
      <name val="Verdana"/>
      <family val="2"/>
    </font>
    <font>
      <u/>
      <sz val="9"/>
      <color indexed="12"/>
      <name val="Geneva"/>
    </font>
    <font>
      <u/>
      <sz val="10"/>
      <color indexed="12"/>
      <name val="Arial"/>
      <family val="2"/>
    </font>
    <font>
      <sz val="10"/>
      <name val="Arial"/>
      <family val="2"/>
    </font>
    <font>
      <sz val="10"/>
      <name val="Verdana"/>
      <family val="2"/>
    </font>
    <font>
      <sz val="9.75"/>
      <name val="Helv"/>
    </font>
    <font>
      <sz val="10"/>
      <color indexed="8"/>
      <name val="Arial"/>
      <family val="2"/>
    </font>
    <font>
      <sz val="8"/>
      <name val="Geneva"/>
    </font>
    <font>
      <sz val="11"/>
      <color theme="1"/>
      <name val="Calibri"/>
      <family val="2"/>
      <scheme val="minor"/>
    </font>
    <font>
      <sz val="11"/>
      <color theme="1"/>
      <name val="Arial"/>
      <family val="2"/>
    </font>
    <font>
      <sz val="11"/>
      <color theme="0"/>
      <name val="Calibri"/>
      <family val="2"/>
      <scheme val="minor"/>
    </font>
    <font>
      <sz val="11"/>
      <color rgb="FF9C0006"/>
      <name val="Calibri"/>
      <family val="2"/>
      <scheme val="minor"/>
    </font>
    <font>
      <sz val="12"/>
      <color rgb="FF9C0006"/>
      <name val="Arial"/>
      <family val="2"/>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9"/>
      <color theme="10"/>
      <name val="Geneva"/>
    </font>
    <font>
      <u/>
      <sz val="11"/>
      <color theme="10"/>
      <name val="Calibri"/>
      <family val="2"/>
    </font>
    <font>
      <sz val="11"/>
      <color rgb="FF3F3F76"/>
      <name val="Calibri"/>
      <family val="2"/>
      <scheme val="minor"/>
    </font>
    <font>
      <sz val="11"/>
      <color rgb="FFFA7D00"/>
      <name val="Calibri"/>
      <family val="2"/>
      <scheme val="minor"/>
    </font>
    <font>
      <sz val="11"/>
      <color rgb="FF9C6500"/>
      <name val="Calibri"/>
      <family val="2"/>
      <scheme val="minor"/>
    </font>
    <font>
      <sz val="12"/>
      <color theme="1"/>
      <name val="Comic Sans MS"/>
      <family val="2"/>
    </font>
    <font>
      <sz val="11"/>
      <color theme="1"/>
      <name val="Comic Sans MS"/>
      <family val="4"/>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theme="1"/>
      <name val="Cambria"/>
      <family val="2"/>
      <scheme val="major"/>
    </font>
    <font>
      <sz val="9"/>
      <color indexed="81"/>
      <name val="Tahoma"/>
      <family val="2"/>
    </font>
    <font>
      <b/>
      <sz val="9"/>
      <color indexed="81"/>
      <name val="Tahoma"/>
      <family val="2"/>
    </font>
    <font>
      <sz val="12"/>
      <color indexed="8"/>
      <name val="Times New Roman"/>
      <family val="1"/>
    </font>
    <font>
      <sz val="12"/>
      <name val="Times New Roman"/>
      <family val="1"/>
    </font>
    <font>
      <sz val="12"/>
      <color indexed="23"/>
      <name val="Times New Roman"/>
      <family val="1"/>
    </font>
    <font>
      <b/>
      <sz val="12"/>
      <name val="Times New Roman"/>
      <family val="1"/>
    </font>
    <font>
      <b/>
      <sz val="12"/>
      <color indexed="8"/>
      <name val="Times New Roman"/>
      <family val="1"/>
    </font>
    <font>
      <strike/>
      <sz val="12"/>
      <color indexed="8"/>
      <name val="Times New Roman"/>
      <family val="1"/>
    </font>
    <font>
      <sz val="12"/>
      <color rgb="FFC00000"/>
      <name val="Times New Roman"/>
      <family val="1"/>
    </font>
    <font>
      <vertAlign val="subscript"/>
      <sz val="12"/>
      <name val="Times New Roman"/>
      <family val="1"/>
    </font>
    <font>
      <sz val="12"/>
      <color indexed="9"/>
      <name val="Times New Roman"/>
      <family val="1"/>
    </font>
    <font>
      <b/>
      <sz val="12"/>
      <color theme="1" tint="4.9989318521683403E-2"/>
      <name val="Times New Roman"/>
      <family val="1"/>
    </font>
    <font>
      <b/>
      <sz val="12"/>
      <color indexed="9"/>
      <name val="Times New Roman"/>
      <family val="1"/>
    </font>
    <font>
      <vertAlign val="subscript"/>
      <sz val="12"/>
      <color indexed="9"/>
      <name val="Times New Roman"/>
      <family val="1"/>
    </font>
    <font>
      <sz val="12"/>
      <color theme="0"/>
      <name val="Times New Roman"/>
      <family val="1"/>
    </font>
    <font>
      <sz val="12"/>
      <color theme="1"/>
      <name val="Times New Roman"/>
      <family val="1"/>
    </font>
    <font>
      <sz val="10"/>
      <color indexed="72"/>
      <name val="Arial"/>
      <family val="2"/>
    </font>
    <font>
      <sz val="10"/>
      <name val="Lohit Hindi"/>
      <family val="2"/>
    </font>
    <font>
      <b/>
      <sz val="15"/>
      <color indexed="62"/>
      <name val="Calibri"/>
      <family val="2"/>
    </font>
    <font>
      <b/>
      <sz val="13"/>
      <color indexed="62"/>
      <name val="Calibri"/>
      <family val="2"/>
    </font>
    <font>
      <b/>
      <sz val="11"/>
      <color indexed="62"/>
      <name val="Calibri"/>
      <family val="2"/>
    </font>
    <font>
      <b/>
      <sz val="18"/>
      <color indexed="62"/>
      <name val="Cambria"/>
      <family val="2"/>
    </font>
    <font>
      <sz val="12"/>
      <color indexed="72"/>
      <name val="Times New Roman"/>
      <family val="1"/>
    </font>
    <font>
      <sz val="11"/>
      <color rgb="FFFF0000"/>
      <name val="Gill Sans MT"/>
      <family val="2"/>
    </font>
    <font>
      <sz val="12"/>
      <color rgb="FFFF0000"/>
      <name val="Geneva"/>
    </font>
  </fonts>
  <fills count="10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1"/>
        <bgColor indexed="64"/>
      </patternFill>
    </fill>
    <fill>
      <patternFill patternType="solid">
        <fgColor indexed="43"/>
        <bgColor indexed="64"/>
      </patternFill>
    </fill>
    <fill>
      <patternFill patternType="solid">
        <fgColor indexed="13"/>
        <bgColor indexed="64"/>
      </patternFill>
    </fill>
    <fill>
      <patternFill patternType="solid">
        <fgColor indexed="51"/>
        <bgColor indexed="64"/>
      </patternFill>
    </fill>
    <fill>
      <patternFill patternType="solid">
        <fgColor indexed="49"/>
        <bgColor indexed="64"/>
      </patternFill>
    </fill>
    <fill>
      <patternFill patternType="solid">
        <fgColor indexed="11"/>
        <bgColor indexed="64"/>
      </patternFill>
    </fill>
    <fill>
      <patternFill patternType="solid">
        <fgColor indexed="52"/>
        <bgColor indexed="64"/>
      </patternFill>
    </fill>
    <fill>
      <patternFill patternType="solid">
        <fgColor indexed="29"/>
        <bgColor indexed="64"/>
      </patternFill>
    </fill>
    <fill>
      <patternFill patternType="solid">
        <fgColor indexed="53"/>
        <bgColor indexed="64"/>
      </patternFill>
    </fill>
    <fill>
      <patternFill patternType="solid">
        <fgColor indexed="10"/>
        <bgColor indexed="64"/>
      </patternFill>
    </fill>
    <fill>
      <patternFill patternType="solid">
        <fgColor indexed="21"/>
        <bgColor indexed="64"/>
      </patternFill>
    </fill>
    <fill>
      <patternFill patternType="solid">
        <fgColor indexed="45"/>
        <bgColor indexed="64"/>
      </patternFill>
    </fill>
    <fill>
      <patternFill patternType="solid">
        <fgColor indexed="27"/>
        <bgColor indexed="64"/>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4" tint="0.79998168889431442"/>
        <bgColor indexed="64"/>
      </patternFill>
    </fill>
    <fill>
      <patternFill patternType="solid">
        <fgColor theme="5" tint="-0.249977111117893"/>
        <bgColor indexed="64"/>
      </patternFill>
    </fill>
    <fill>
      <patternFill patternType="solid">
        <fgColor theme="6" tint="-0.49998474074526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6" tint="0.59999389629810485"/>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8" tint="-0.499984740745262"/>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9" tint="0.39997558519241921"/>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3" tint="0.39997558519241921"/>
        <bgColor indexed="64"/>
      </patternFill>
    </fill>
    <fill>
      <patternFill patternType="solid">
        <fgColor theme="5" tint="-0.499984740745262"/>
        <bgColor indexed="64"/>
      </patternFill>
    </fill>
    <fill>
      <patternFill patternType="solid">
        <fgColor theme="2" tint="-0.49998474074526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rgb="FF92D050"/>
        <bgColor indexed="64"/>
      </patternFill>
    </fill>
    <fill>
      <patternFill patternType="solid">
        <fgColor rgb="FFFFC0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50"/>
        <bgColor indexed="64"/>
      </patternFill>
    </fill>
    <fill>
      <patternFill patternType="solid">
        <fgColor theme="0" tint="-4.9989318521683403E-2"/>
        <bgColor indexed="64"/>
      </patternFill>
    </fill>
    <fill>
      <patternFill patternType="solid">
        <fgColor indexed="9"/>
      </patternFill>
    </fill>
    <fill>
      <patternFill patternType="solid">
        <fgColor indexed="54"/>
      </patternFill>
    </fill>
    <fill>
      <patternFill patternType="solid">
        <fgColor theme="0"/>
        <bgColor indexed="64"/>
      </patternFill>
    </fill>
  </fills>
  <borders count="10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56"/>
      </left>
      <right/>
      <top/>
      <bottom/>
      <diagonal/>
    </border>
    <border>
      <left/>
      <right style="medium">
        <color indexed="56"/>
      </right>
      <top/>
      <bottom/>
      <diagonal/>
    </border>
    <border>
      <left style="medium">
        <color indexed="56"/>
      </left>
      <right/>
      <top/>
      <bottom style="medium">
        <color indexed="56"/>
      </bottom>
      <diagonal/>
    </border>
    <border>
      <left/>
      <right/>
      <top/>
      <bottom style="medium">
        <color indexed="56"/>
      </bottom>
      <diagonal/>
    </border>
    <border>
      <left/>
      <right style="medium">
        <color indexed="56"/>
      </right>
      <top/>
      <bottom style="medium">
        <color indexed="56"/>
      </bottom>
      <diagonal/>
    </border>
    <border>
      <left style="medium">
        <color indexed="56"/>
      </left>
      <right style="medium">
        <color indexed="56"/>
      </right>
      <top/>
      <bottom/>
      <diagonal/>
    </border>
    <border>
      <left style="medium">
        <color indexed="56"/>
      </left>
      <right style="medium">
        <color indexed="56"/>
      </right>
      <top/>
      <bottom style="medium">
        <color indexed="56"/>
      </bottom>
      <diagonal/>
    </border>
    <border>
      <left/>
      <right style="medium">
        <color indexed="56"/>
      </right>
      <top style="medium">
        <color indexed="56"/>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right/>
      <top style="medium">
        <color indexed="56"/>
      </top>
      <bottom/>
      <diagonal/>
    </border>
    <border>
      <left style="medium">
        <color indexed="56"/>
      </left>
      <right style="medium">
        <color indexed="56"/>
      </right>
      <top style="medium">
        <color indexed="56"/>
      </top>
      <bottom/>
      <diagonal/>
    </border>
    <border>
      <left style="medium">
        <color indexed="56"/>
      </left>
      <right/>
      <top style="medium">
        <color indexed="56"/>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ck">
        <color indexed="64"/>
      </top>
      <bottom/>
      <diagonal/>
    </border>
    <border>
      <left style="thick">
        <color indexed="10"/>
      </left>
      <right/>
      <top style="thick">
        <color indexed="10"/>
      </top>
      <bottom/>
      <diagonal/>
    </border>
    <border>
      <left/>
      <right style="thick">
        <color indexed="10"/>
      </right>
      <top style="thick">
        <color indexed="10"/>
      </top>
      <bottom/>
      <diagonal/>
    </border>
    <border>
      <left style="thick">
        <color indexed="10"/>
      </left>
      <right/>
      <top/>
      <bottom/>
      <diagonal/>
    </border>
    <border>
      <left/>
      <right style="thick">
        <color indexed="10"/>
      </right>
      <top/>
      <bottom/>
      <diagonal/>
    </border>
    <border>
      <left style="thick">
        <color indexed="10"/>
      </left>
      <right/>
      <top/>
      <bottom style="thick">
        <color indexed="10"/>
      </bottom>
      <diagonal/>
    </border>
    <border>
      <left/>
      <right style="thick">
        <color indexed="10"/>
      </right>
      <top/>
      <bottom style="thick">
        <color indexed="10"/>
      </bottom>
      <diagonal/>
    </border>
    <border>
      <left style="thick">
        <color indexed="56"/>
      </left>
      <right/>
      <top style="thick">
        <color indexed="56"/>
      </top>
      <bottom/>
      <diagonal/>
    </border>
    <border>
      <left/>
      <right style="thick">
        <color indexed="56"/>
      </right>
      <top style="thick">
        <color indexed="56"/>
      </top>
      <bottom/>
      <diagonal/>
    </border>
    <border>
      <left style="thick">
        <color indexed="56"/>
      </left>
      <right/>
      <top/>
      <bottom/>
      <diagonal/>
    </border>
    <border>
      <left/>
      <right style="thick">
        <color indexed="56"/>
      </right>
      <top/>
      <bottom/>
      <diagonal/>
    </border>
    <border>
      <left style="thick">
        <color indexed="56"/>
      </left>
      <right/>
      <top/>
      <bottom style="thick">
        <color indexed="56"/>
      </bottom>
      <diagonal/>
    </border>
    <border>
      <left/>
      <right style="thick">
        <color indexed="56"/>
      </right>
      <top/>
      <bottom style="thick">
        <color indexed="56"/>
      </bottom>
      <diagonal/>
    </border>
    <border>
      <left style="double">
        <color indexed="64"/>
      </left>
      <right/>
      <top style="double">
        <color indexed="64"/>
      </top>
      <bottom style="medium">
        <color indexed="64"/>
      </bottom>
      <diagonal/>
    </border>
    <border>
      <left/>
      <right/>
      <top style="double">
        <color indexed="64"/>
      </top>
      <bottom style="medium">
        <color indexed="64"/>
      </bottom>
      <diagonal/>
    </border>
    <border>
      <left/>
      <right style="double">
        <color indexed="64"/>
      </right>
      <top style="double">
        <color indexed="64"/>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auto="1"/>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right/>
      <top style="double">
        <color auto="1"/>
      </top>
      <bottom/>
      <diagonal/>
    </border>
    <border>
      <left/>
      <right/>
      <top/>
      <bottom style="double">
        <color auto="1"/>
      </bottom>
      <diagonal/>
    </border>
    <border>
      <left/>
      <right style="double">
        <color auto="1"/>
      </right>
      <top/>
      <bottom style="double">
        <color auto="1"/>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top/>
      <bottom style="thin">
        <color indexed="64"/>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double">
        <color auto="1"/>
      </left>
      <right style="double">
        <color indexed="64"/>
      </right>
      <top style="double">
        <color auto="1"/>
      </top>
      <bottom/>
      <diagonal/>
    </border>
    <border>
      <left style="thin">
        <color indexed="64"/>
      </left>
      <right style="thin">
        <color indexed="64"/>
      </right>
      <top style="double">
        <color indexed="64"/>
      </top>
      <bottom/>
      <diagonal/>
    </border>
    <border>
      <left style="medium">
        <color indexed="64"/>
      </left>
      <right/>
      <top/>
      <bottom style="thin">
        <color indexed="64"/>
      </bottom>
      <diagonal/>
    </border>
    <border>
      <left style="medium">
        <color indexed="64"/>
      </left>
      <right/>
      <top style="thin">
        <color indexed="64"/>
      </top>
      <bottom/>
      <diagonal/>
    </border>
    <border>
      <left/>
      <right/>
      <top style="thin">
        <color auto="1"/>
      </top>
      <bottom/>
      <diagonal/>
    </border>
    <border>
      <left style="thin">
        <color indexed="64"/>
      </left>
      <right style="thin">
        <color indexed="64"/>
      </right>
      <top/>
      <bottom style="double">
        <color indexed="64"/>
      </bottom>
      <diagonal/>
    </border>
    <border>
      <left/>
      <right/>
      <top/>
      <bottom style="thick">
        <color indexed="49"/>
      </bottom>
      <diagonal/>
    </border>
    <border>
      <left/>
      <right/>
      <top/>
      <bottom style="medium">
        <color indexed="49"/>
      </bottom>
      <diagonal/>
    </border>
  </borders>
  <cellStyleXfs count="3025">
    <xf numFmtId="0" fontId="0" fillId="0" borderId="0"/>
    <xf numFmtId="0" fontId="133" fillId="2" borderId="0" applyNumberFormat="0" applyBorder="0" applyAlignment="0" applyProtection="0"/>
    <xf numFmtId="170" fontId="133" fillId="2" borderId="0" applyNumberFormat="0" applyBorder="0" applyAlignment="0" applyProtection="0"/>
    <xf numFmtId="0" fontId="133" fillId="2" borderId="0" applyNumberFormat="0" applyBorder="0" applyAlignment="0" applyProtection="0"/>
    <xf numFmtId="0" fontId="84" fillId="2" borderId="0" applyNumberFormat="0" applyBorder="0" applyAlignment="0" applyProtection="0"/>
    <xf numFmtId="0" fontId="133" fillId="2" borderId="0" applyNumberFormat="0" applyBorder="0" applyAlignment="0" applyProtection="0"/>
    <xf numFmtId="0" fontId="84" fillId="2" borderId="0" applyNumberFormat="0" applyBorder="0" applyAlignment="0" applyProtection="0"/>
    <xf numFmtId="170" fontId="84" fillId="2" borderId="0" applyNumberFormat="0" applyBorder="0" applyAlignment="0" applyProtection="0"/>
    <xf numFmtId="0" fontId="133" fillId="3" borderId="0" applyNumberFormat="0" applyBorder="0" applyAlignment="0" applyProtection="0"/>
    <xf numFmtId="170" fontId="133" fillId="3" borderId="0" applyNumberFormat="0" applyBorder="0" applyAlignment="0" applyProtection="0"/>
    <xf numFmtId="0" fontId="133" fillId="3" borderId="0" applyNumberFormat="0" applyBorder="0" applyAlignment="0" applyProtection="0"/>
    <xf numFmtId="0" fontId="84" fillId="3" borderId="0" applyNumberFormat="0" applyBorder="0" applyAlignment="0" applyProtection="0"/>
    <xf numFmtId="0" fontId="133" fillId="3" borderId="0" applyNumberFormat="0" applyBorder="0" applyAlignment="0" applyProtection="0"/>
    <xf numFmtId="0" fontId="84" fillId="3" borderId="0" applyNumberFormat="0" applyBorder="0" applyAlignment="0" applyProtection="0"/>
    <xf numFmtId="170" fontId="84" fillId="3" borderId="0" applyNumberFormat="0" applyBorder="0" applyAlignment="0" applyProtection="0"/>
    <xf numFmtId="0" fontId="133" fillId="4" borderId="0" applyNumberFormat="0" applyBorder="0" applyAlignment="0" applyProtection="0"/>
    <xf numFmtId="170" fontId="133" fillId="4" borderId="0" applyNumberFormat="0" applyBorder="0" applyAlignment="0" applyProtection="0"/>
    <xf numFmtId="0" fontId="133" fillId="4" borderId="0" applyNumberFormat="0" applyBorder="0" applyAlignment="0" applyProtection="0"/>
    <xf numFmtId="0" fontId="84" fillId="4" borderId="0" applyNumberFormat="0" applyBorder="0" applyAlignment="0" applyProtection="0"/>
    <xf numFmtId="0" fontId="133" fillId="4" borderId="0" applyNumberFormat="0" applyBorder="0" applyAlignment="0" applyProtection="0"/>
    <xf numFmtId="0" fontId="84" fillId="4" borderId="0" applyNumberFormat="0" applyBorder="0" applyAlignment="0" applyProtection="0"/>
    <xf numFmtId="170" fontId="84" fillId="4" borderId="0" applyNumberFormat="0" applyBorder="0" applyAlignment="0" applyProtection="0"/>
    <xf numFmtId="0" fontId="133" fillId="5" borderId="0" applyNumberFormat="0" applyBorder="0" applyAlignment="0" applyProtection="0"/>
    <xf numFmtId="170" fontId="133" fillId="5" borderId="0" applyNumberFormat="0" applyBorder="0" applyAlignment="0" applyProtection="0"/>
    <xf numFmtId="0" fontId="133" fillId="5" borderId="0" applyNumberFormat="0" applyBorder="0" applyAlignment="0" applyProtection="0"/>
    <xf numFmtId="0" fontId="84" fillId="5" borderId="0" applyNumberFormat="0" applyBorder="0" applyAlignment="0" applyProtection="0"/>
    <xf numFmtId="0" fontId="133" fillId="5" borderId="0" applyNumberFormat="0" applyBorder="0" applyAlignment="0" applyProtection="0"/>
    <xf numFmtId="0" fontId="84" fillId="5" borderId="0" applyNumberFormat="0" applyBorder="0" applyAlignment="0" applyProtection="0"/>
    <xf numFmtId="170" fontId="84" fillId="5" borderId="0" applyNumberFormat="0" applyBorder="0" applyAlignment="0" applyProtection="0"/>
    <xf numFmtId="0" fontId="133" fillId="37" borderId="0" applyNumberFormat="0" applyBorder="0" applyAlignment="0" applyProtection="0"/>
    <xf numFmtId="170" fontId="133" fillId="37" borderId="0" applyNumberFormat="0" applyBorder="0" applyAlignment="0" applyProtection="0"/>
    <xf numFmtId="0" fontId="133" fillId="37" borderId="0" applyNumberFormat="0" applyBorder="0" applyAlignment="0" applyProtection="0"/>
    <xf numFmtId="0" fontId="84" fillId="6" borderId="0" applyNumberFormat="0" applyBorder="0" applyAlignment="0" applyProtection="0"/>
    <xf numFmtId="0" fontId="133" fillId="37" borderId="0" applyNumberFormat="0" applyBorder="0" applyAlignment="0" applyProtection="0"/>
    <xf numFmtId="0" fontId="84" fillId="6" borderId="0" applyNumberFormat="0" applyBorder="0" applyAlignment="0" applyProtection="0"/>
    <xf numFmtId="170" fontId="84" fillId="6" borderId="0" applyNumberFormat="0" applyBorder="0" applyAlignment="0" applyProtection="0"/>
    <xf numFmtId="0" fontId="133" fillId="38" borderId="0" applyNumberFormat="0" applyBorder="0" applyAlignment="0" applyProtection="0"/>
    <xf numFmtId="170" fontId="133" fillId="38" borderId="0" applyNumberFormat="0" applyBorder="0" applyAlignment="0" applyProtection="0"/>
    <xf numFmtId="0" fontId="133" fillId="38" borderId="0" applyNumberFormat="0" applyBorder="0" applyAlignment="0" applyProtection="0"/>
    <xf numFmtId="0" fontId="84" fillId="7" borderId="0" applyNumberFormat="0" applyBorder="0" applyAlignment="0" applyProtection="0"/>
    <xf numFmtId="0" fontId="133" fillId="38" borderId="0" applyNumberFormat="0" applyBorder="0" applyAlignment="0" applyProtection="0"/>
    <xf numFmtId="0" fontId="84" fillId="7" borderId="0" applyNumberFormat="0" applyBorder="0" applyAlignment="0" applyProtection="0"/>
    <xf numFmtId="170" fontId="84" fillId="7" borderId="0" applyNumberFormat="0" applyBorder="0" applyAlignment="0" applyProtection="0"/>
    <xf numFmtId="0" fontId="134" fillId="39" borderId="0" applyNumberFormat="0" applyBorder="0" applyAlignment="0" applyProtection="0"/>
    <xf numFmtId="170" fontId="134" fillId="39" borderId="0" applyNumberFormat="0" applyBorder="0" applyAlignment="0" applyProtection="0"/>
    <xf numFmtId="0" fontId="124" fillId="39" borderId="0" applyNumberFormat="0" applyBorder="0" applyAlignment="0" applyProtection="0"/>
    <xf numFmtId="0" fontId="84" fillId="8" borderId="0" applyNumberFormat="0" applyBorder="0" applyAlignment="0" applyProtection="0"/>
    <xf numFmtId="0" fontId="124" fillId="39" borderId="0" applyNumberFormat="0" applyBorder="0" applyAlignment="0" applyProtection="0"/>
    <xf numFmtId="0" fontId="133" fillId="39" borderId="0" applyNumberFormat="0" applyBorder="0" applyAlignment="0" applyProtection="0"/>
    <xf numFmtId="170" fontId="133" fillId="39" borderId="0" applyNumberFormat="0" applyBorder="0" applyAlignment="0" applyProtection="0"/>
    <xf numFmtId="0" fontId="133" fillId="39" borderId="0" applyNumberFormat="0" applyBorder="0" applyAlignment="0" applyProtection="0"/>
    <xf numFmtId="0" fontId="133" fillId="39" borderId="0" applyNumberFormat="0" applyBorder="0" applyAlignment="0" applyProtection="0"/>
    <xf numFmtId="0" fontId="84" fillId="8" borderId="0" applyNumberFormat="0" applyBorder="0" applyAlignment="0" applyProtection="0"/>
    <xf numFmtId="170" fontId="84" fillId="8" borderId="0" applyNumberFormat="0" applyBorder="0" applyAlignment="0" applyProtection="0"/>
    <xf numFmtId="0" fontId="134" fillId="40" borderId="0" applyNumberFormat="0" applyBorder="0" applyAlignment="0" applyProtection="0"/>
    <xf numFmtId="170" fontId="134" fillId="40" borderId="0" applyNumberFormat="0" applyBorder="0" applyAlignment="0" applyProtection="0"/>
    <xf numFmtId="0" fontId="124" fillId="40" borderId="0" applyNumberFormat="0" applyBorder="0" applyAlignment="0" applyProtection="0"/>
    <xf numFmtId="0" fontId="84" fillId="9" borderId="0" applyNumberFormat="0" applyBorder="0" applyAlignment="0" applyProtection="0"/>
    <xf numFmtId="0" fontId="124" fillId="40" borderId="0" applyNumberFormat="0" applyBorder="0" applyAlignment="0" applyProtection="0"/>
    <xf numFmtId="0" fontId="133" fillId="40" borderId="0" applyNumberFormat="0" applyBorder="0" applyAlignment="0" applyProtection="0"/>
    <xf numFmtId="170" fontId="133" fillId="40" borderId="0" applyNumberFormat="0" applyBorder="0" applyAlignment="0" applyProtection="0"/>
    <xf numFmtId="0" fontId="133" fillId="40" borderId="0" applyNumberFormat="0" applyBorder="0" applyAlignment="0" applyProtection="0"/>
    <xf numFmtId="0" fontId="133" fillId="40" borderId="0" applyNumberFormat="0" applyBorder="0" applyAlignment="0" applyProtection="0"/>
    <xf numFmtId="0" fontId="84" fillId="9" borderId="0" applyNumberFormat="0" applyBorder="0" applyAlignment="0" applyProtection="0"/>
    <xf numFmtId="170" fontId="84" fillId="9" borderId="0" applyNumberFormat="0" applyBorder="0" applyAlignment="0" applyProtection="0"/>
    <xf numFmtId="0" fontId="134" fillId="10" borderId="0" applyNumberFormat="0" applyBorder="0" applyAlignment="0" applyProtection="0"/>
    <xf numFmtId="170" fontId="134" fillId="10" borderId="0" applyNumberFormat="0" applyBorder="0" applyAlignment="0" applyProtection="0"/>
    <xf numFmtId="0" fontId="124" fillId="10" borderId="0" applyNumberFormat="0" applyBorder="0" applyAlignment="0" applyProtection="0"/>
    <xf numFmtId="0" fontId="84" fillId="10" borderId="0" applyNumberFormat="0" applyBorder="0" applyAlignment="0" applyProtection="0"/>
    <xf numFmtId="0" fontId="124" fillId="10" borderId="0" applyNumberFormat="0" applyBorder="0" applyAlignment="0" applyProtection="0"/>
    <xf numFmtId="0" fontId="133" fillId="10" borderId="0" applyNumberFormat="0" applyBorder="0" applyAlignment="0" applyProtection="0"/>
    <xf numFmtId="170" fontId="133" fillId="10" borderId="0" applyNumberFormat="0" applyBorder="0" applyAlignment="0" applyProtection="0"/>
    <xf numFmtId="0" fontId="133" fillId="10" borderId="0" applyNumberFormat="0" applyBorder="0" applyAlignment="0" applyProtection="0"/>
    <xf numFmtId="0" fontId="133" fillId="10" borderId="0" applyNumberFormat="0" applyBorder="0" applyAlignment="0" applyProtection="0"/>
    <xf numFmtId="0" fontId="84" fillId="10" borderId="0" applyNumberFormat="0" applyBorder="0" applyAlignment="0" applyProtection="0"/>
    <xf numFmtId="170" fontId="84" fillId="10" borderId="0" applyNumberFormat="0" applyBorder="0" applyAlignment="0" applyProtection="0"/>
    <xf numFmtId="0" fontId="133" fillId="41" borderId="0" applyNumberFormat="0" applyBorder="0" applyAlignment="0" applyProtection="0"/>
    <xf numFmtId="170" fontId="133" fillId="41" borderId="0" applyNumberFormat="0" applyBorder="0" applyAlignment="0" applyProtection="0"/>
    <xf numFmtId="0" fontId="133" fillId="41" borderId="0" applyNumberFormat="0" applyBorder="0" applyAlignment="0" applyProtection="0"/>
    <xf numFmtId="0" fontId="84" fillId="5" borderId="0" applyNumberFormat="0" applyBorder="0" applyAlignment="0" applyProtection="0"/>
    <xf numFmtId="0" fontId="133" fillId="41" borderId="0" applyNumberFormat="0" applyBorder="0" applyAlignment="0" applyProtection="0"/>
    <xf numFmtId="0" fontId="84" fillId="5" borderId="0" applyNumberFormat="0" applyBorder="0" applyAlignment="0" applyProtection="0"/>
    <xf numFmtId="170" fontId="84" fillId="5" borderId="0" applyNumberFormat="0" applyBorder="0" applyAlignment="0" applyProtection="0"/>
    <xf numFmtId="0" fontId="133" fillId="42" borderId="0" applyNumberFormat="0" applyBorder="0" applyAlignment="0" applyProtection="0"/>
    <xf numFmtId="170" fontId="133" fillId="42" borderId="0" applyNumberFormat="0" applyBorder="0" applyAlignment="0" applyProtection="0"/>
    <xf numFmtId="0" fontId="133" fillId="42" borderId="0" applyNumberFormat="0" applyBorder="0" applyAlignment="0" applyProtection="0"/>
    <xf numFmtId="0" fontId="84" fillId="8" borderId="0" applyNumberFormat="0" applyBorder="0" applyAlignment="0" applyProtection="0"/>
    <xf numFmtId="0" fontId="133" fillId="42" borderId="0" applyNumberFormat="0" applyBorder="0" applyAlignment="0" applyProtection="0"/>
    <xf numFmtId="0" fontId="84" fillId="8" borderId="0" applyNumberFormat="0" applyBorder="0" applyAlignment="0" applyProtection="0"/>
    <xf numFmtId="170" fontId="84" fillId="8" borderId="0" applyNumberFormat="0" applyBorder="0" applyAlignment="0" applyProtection="0"/>
    <xf numFmtId="0" fontId="133" fillId="43" borderId="0" applyNumberFormat="0" applyBorder="0" applyAlignment="0" applyProtection="0"/>
    <xf numFmtId="170" fontId="133" fillId="43" borderId="0" applyNumberFormat="0" applyBorder="0" applyAlignment="0" applyProtection="0"/>
    <xf numFmtId="0" fontId="133" fillId="43" borderId="0" applyNumberFormat="0" applyBorder="0" applyAlignment="0" applyProtection="0"/>
    <xf numFmtId="0" fontId="84" fillId="11" borderId="0" applyNumberFormat="0" applyBorder="0" applyAlignment="0" applyProtection="0"/>
    <xf numFmtId="0" fontId="133" fillId="43" borderId="0" applyNumberFormat="0" applyBorder="0" applyAlignment="0" applyProtection="0"/>
    <xf numFmtId="0" fontId="84" fillId="11" borderId="0" applyNumberFormat="0" applyBorder="0" applyAlignment="0" applyProtection="0"/>
    <xf numFmtId="170" fontId="84" fillId="11" borderId="0" applyNumberFormat="0" applyBorder="0" applyAlignment="0" applyProtection="0"/>
    <xf numFmtId="0" fontId="135" fillId="44" borderId="0" applyNumberFormat="0" applyBorder="0" applyAlignment="0" applyProtection="0"/>
    <xf numFmtId="170" fontId="135" fillId="44" borderId="0" applyNumberFormat="0" applyBorder="0" applyAlignment="0" applyProtection="0"/>
    <xf numFmtId="0" fontId="85" fillId="12" borderId="0" applyNumberFormat="0" applyBorder="0" applyAlignment="0" applyProtection="0"/>
    <xf numFmtId="0" fontId="85" fillId="12" borderId="0" applyNumberFormat="0" applyBorder="0" applyAlignment="0" applyProtection="0"/>
    <xf numFmtId="170" fontId="85" fillId="12" borderId="0" applyNumberFormat="0" applyBorder="0" applyAlignment="0" applyProtection="0"/>
    <xf numFmtId="0" fontId="135" fillId="45" borderId="0" applyNumberFormat="0" applyBorder="0" applyAlignment="0" applyProtection="0"/>
    <xf numFmtId="170" fontId="135" fillId="45" borderId="0" applyNumberFormat="0" applyBorder="0" applyAlignment="0" applyProtection="0"/>
    <xf numFmtId="0" fontId="85" fillId="9" borderId="0" applyNumberFormat="0" applyBorder="0" applyAlignment="0" applyProtection="0"/>
    <xf numFmtId="0" fontId="85" fillId="9" borderId="0" applyNumberFormat="0" applyBorder="0" applyAlignment="0" applyProtection="0"/>
    <xf numFmtId="170" fontId="85" fillId="9" borderId="0" applyNumberFormat="0" applyBorder="0" applyAlignment="0" applyProtection="0"/>
    <xf numFmtId="0" fontId="135" fillId="10" borderId="0" applyNumberFormat="0" applyBorder="0" applyAlignment="0" applyProtection="0"/>
    <xf numFmtId="170" fontId="135" fillId="10" borderId="0" applyNumberFormat="0" applyBorder="0" applyAlignment="0" applyProtection="0"/>
    <xf numFmtId="0" fontId="85" fillId="10" borderId="0" applyNumberFormat="0" applyBorder="0" applyAlignment="0" applyProtection="0"/>
    <xf numFmtId="0" fontId="85" fillId="10" borderId="0" applyNumberFormat="0" applyBorder="0" applyAlignment="0" applyProtection="0"/>
    <xf numFmtId="170" fontId="85" fillId="10" borderId="0" applyNumberFormat="0" applyBorder="0" applyAlignment="0" applyProtection="0"/>
    <xf numFmtId="0" fontId="135" fillId="13" borderId="0" applyNumberFormat="0" applyBorder="0" applyAlignment="0" applyProtection="0"/>
    <xf numFmtId="170" fontId="135" fillId="13" borderId="0" applyNumberFormat="0" applyBorder="0" applyAlignment="0" applyProtection="0"/>
    <xf numFmtId="0" fontId="85" fillId="13" borderId="0" applyNumberFormat="0" applyBorder="0" applyAlignment="0" applyProtection="0"/>
    <xf numFmtId="0" fontId="85" fillId="13" borderId="0" applyNumberFormat="0" applyBorder="0" applyAlignment="0" applyProtection="0"/>
    <xf numFmtId="170" fontId="85" fillId="13" borderId="0" applyNumberFormat="0" applyBorder="0" applyAlignment="0" applyProtection="0"/>
    <xf numFmtId="0" fontId="135" fillId="46" borderId="0" applyNumberFormat="0" applyBorder="0" applyAlignment="0" applyProtection="0"/>
    <xf numFmtId="170" fontId="135" fillId="46" borderId="0" applyNumberFormat="0" applyBorder="0" applyAlignment="0" applyProtection="0"/>
    <xf numFmtId="0" fontId="85" fillId="14" borderId="0" applyNumberFormat="0" applyBorder="0" applyAlignment="0" applyProtection="0"/>
    <xf numFmtId="0" fontId="85" fillId="14" borderId="0" applyNumberFormat="0" applyBorder="0" applyAlignment="0" applyProtection="0"/>
    <xf numFmtId="170" fontId="85" fillId="14" borderId="0" applyNumberFormat="0" applyBorder="0" applyAlignment="0" applyProtection="0"/>
    <xf numFmtId="0" fontId="135" fillId="15" borderId="0" applyNumberFormat="0" applyBorder="0" applyAlignment="0" applyProtection="0"/>
    <xf numFmtId="170" fontId="135" fillId="15"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170" fontId="85" fillId="15" borderId="0" applyNumberFormat="0" applyBorder="0" applyAlignment="0" applyProtection="0"/>
    <xf numFmtId="0" fontId="135" fillId="47" borderId="0" applyNumberFormat="0" applyBorder="0" applyAlignment="0" applyProtection="0"/>
    <xf numFmtId="170" fontId="135" fillId="47" borderId="0" applyNumberFormat="0" applyBorder="0" applyAlignment="0" applyProtection="0"/>
    <xf numFmtId="0" fontId="85" fillId="16" borderId="0" applyNumberFormat="0" applyBorder="0" applyAlignment="0" applyProtection="0"/>
    <xf numFmtId="0" fontId="85" fillId="16" borderId="0" applyNumberFormat="0" applyBorder="0" applyAlignment="0" applyProtection="0"/>
    <xf numFmtId="170" fontId="85" fillId="16" borderId="0" applyNumberFormat="0" applyBorder="0" applyAlignment="0" applyProtection="0"/>
    <xf numFmtId="0" fontId="135" fillId="48" borderId="0" applyNumberFormat="0" applyBorder="0" applyAlignment="0" applyProtection="0"/>
    <xf numFmtId="170" fontId="135" fillId="48" borderId="0" applyNumberFormat="0" applyBorder="0" applyAlignment="0" applyProtection="0"/>
    <xf numFmtId="0" fontId="85" fillId="17" borderId="0" applyNumberFormat="0" applyBorder="0" applyAlignment="0" applyProtection="0"/>
    <xf numFmtId="0" fontId="85" fillId="17" borderId="0" applyNumberFormat="0" applyBorder="0" applyAlignment="0" applyProtection="0"/>
    <xf numFmtId="170" fontId="85" fillId="17" borderId="0" applyNumberFormat="0" applyBorder="0" applyAlignment="0" applyProtection="0"/>
    <xf numFmtId="0" fontId="135" fillId="49" borderId="0" applyNumberFormat="0" applyBorder="0" applyAlignment="0" applyProtection="0"/>
    <xf numFmtId="170" fontId="135" fillId="49" borderId="0" applyNumberFormat="0" applyBorder="0" applyAlignment="0" applyProtection="0"/>
    <xf numFmtId="0" fontId="85" fillId="18" borderId="0" applyNumberFormat="0" applyBorder="0" applyAlignment="0" applyProtection="0"/>
    <xf numFmtId="0" fontId="85" fillId="18" borderId="0" applyNumberFormat="0" applyBorder="0" applyAlignment="0" applyProtection="0"/>
    <xf numFmtId="170" fontId="85" fillId="18" borderId="0" applyNumberFormat="0" applyBorder="0" applyAlignment="0" applyProtection="0"/>
    <xf numFmtId="0" fontId="135" fillId="50" borderId="0" applyNumberFormat="0" applyBorder="0" applyAlignment="0" applyProtection="0"/>
    <xf numFmtId="170" fontId="135" fillId="50" borderId="0" applyNumberFormat="0" applyBorder="0" applyAlignment="0" applyProtection="0"/>
    <xf numFmtId="0" fontId="85" fillId="13" borderId="0" applyNumberFormat="0" applyBorder="0" applyAlignment="0" applyProtection="0"/>
    <xf numFmtId="0" fontId="85" fillId="13" borderId="0" applyNumberFormat="0" applyBorder="0" applyAlignment="0" applyProtection="0"/>
    <xf numFmtId="170" fontId="85" fillId="13" borderId="0" applyNumberFormat="0" applyBorder="0" applyAlignment="0" applyProtection="0"/>
    <xf numFmtId="0" fontId="135" fillId="51" borderId="0" applyNumberFormat="0" applyBorder="0" applyAlignment="0" applyProtection="0"/>
    <xf numFmtId="170" fontId="135" fillId="51" borderId="0" applyNumberFormat="0" applyBorder="0" applyAlignment="0" applyProtection="0"/>
    <xf numFmtId="0" fontId="85" fillId="14" borderId="0" applyNumberFormat="0" applyBorder="0" applyAlignment="0" applyProtection="0"/>
    <xf numFmtId="0" fontId="85" fillId="14" borderId="0" applyNumberFormat="0" applyBorder="0" applyAlignment="0" applyProtection="0"/>
    <xf numFmtId="170" fontId="85" fillId="14" borderId="0" applyNumberFormat="0" applyBorder="0" applyAlignment="0" applyProtection="0"/>
    <xf numFmtId="0" fontId="135" fillId="52" borderId="0" applyNumberFormat="0" applyBorder="0" applyAlignment="0" applyProtection="0"/>
    <xf numFmtId="170" fontId="135" fillId="52" borderId="0" applyNumberFormat="0" applyBorder="0" applyAlignment="0" applyProtection="0"/>
    <xf numFmtId="0" fontId="85" fillId="19" borderId="0" applyNumberFormat="0" applyBorder="0" applyAlignment="0" applyProtection="0"/>
    <xf numFmtId="0" fontId="85" fillId="19" borderId="0" applyNumberFormat="0" applyBorder="0" applyAlignment="0" applyProtection="0"/>
    <xf numFmtId="170" fontId="85" fillId="19" borderId="0" applyNumberFormat="0" applyBorder="0" applyAlignment="0" applyProtection="0"/>
    <xf numFmtId="0" fontId="137" fillId="53" borderId="0" applyNumberFormat="0" applyBorder="0" applyAlignment="0" applyProtection="0"/>
    <xf numFmtId="0" fontId="137" fillId="53" borderId="0" applyNumberFormat="0" applyBorder="0" applyAlignment="0" applyProtection="0"/>
    <xf numFmtId="170" fontId="137" fillId="53" borderId="0" applyNumberFormat="0" applyBorder="0" applyAlignment="0" applyProtection="0"/>
    <xf numFmtId="0" fontId="137" fillId="53" borderId="0" applyNumberFormat="0" applyBorder="0" applyAlignment="0" applyProtection="0"/>
    <xf numFmtId="170" fontId="137" fillId="53" borderId="0" applyNumberFormat="0" applyBorder="0" applyAlignment="0" applyProtection="0"/>
    <xf numFmtId="0" fontId="136" fillId="53" borderId="0" applyNumberFormat="0" applyBorder="0" applyAlignment="0" applyProtection="0"/>
    <xf numFmtId="170" fontId="136" fillId="53" borderId="0" applyNumberFormat="0" applyBorder="0" applyAlignment="0" applyProtection="0"/>
    <xf numFmtId="0" fontId="107" fillId="3" borderId="0" applyNumberFormat="0" applyBorder="0" applyAlignment="0" applyProtection="0"/>
    <xf numFmtId="170" fontId="137" fillId="53" borderId="0" applyNumberFormat="0" applyBorder="0" applyAlignment="0" applyProtection="0"/>
    <xf numFmtId="0" fontId="137" fillId="53" borderId="0" applyNumberFormat="0" applyBorder="0" applyAlignment="0" applyProtection="0"/>
    <xf numFmtId="0" fontId="86" fillId="3" borderId="0" applyNumberFormat="0" applyBorder="0" applyAlignment="0" applyProtection="0"/>
    <xf numFmtId="170" fontId="86" fillId="3" borderId="0" applyNumberFormat="0" applyBorder="0" applyAlignment="0" applyProtection="0"/>
    <xf numFmtId="0" fontId="107" fillId="3" borderId="0" applyNumberFormat="0" applyBorder="0" applyAlignment="0" applyProtection="0"/>
    <xf numFmtId="170" fontId="137" fillId="53" borderId="0" applyNumberFormat="0" applyBorder="0" applyAlignment="0" applyProtection="0"/>
    <xf numFmtId="0" fontId="137" fillId="53" borderId="0" applyNumberFormat="0" applyBorder="0" applyAlignment="0" applyProtection="0"/>
    <xf numFmtId="170" fontId="137" fillId="53" borderId="0" applyNumberFormat="0" applyBorder="0" applyAlignment="0" applyProtection="0"/>
    <xf numFmtId="0" fontId="86" fillId="3" borderId="0" applyNumberFormat="0" applyBorder="0" applyAlignment="0" applyProtection="0"/>
    <xf numFmtId="0" fontId="138" fillId="54" borderId="62" applyNumberFormat="0" applyAlignment="0" applyProtection="0"/>
    <xf numFmtId="170" fontId="138" fillId="54" borderId="62" applyNumberFormat="0" applyAlignment="0" applyProtection="0"/>
    <xf numFmtId="0" fontId="87" fillId="20" borderId="1" applyNumberFormat="0" applyAlignment="0" applyProtection="0"/>
    <xf numFmtId="0" fontId="87" fillId="20" borderId="1" applyNumberFormat="0" applyAlignment="0" applyProtection="0"/>
    <xf numFmtId="170" fontId="87" fillId="20" borderId="1" applyNumberFormat="0" applyAlignment="0" applyProtection="0"/>
    <xf numFmtId="0" fontId="139" fillId="55" borderId="63" applyNumberFormat="0" applyAlignment="0" applyProtection="0"/>
    <xf numFmtId="170" fontId="139" fillId="55" borderId="63" applyNumberFormat="0" applyAlignment="0" applyProtection="0"/>
    <xf numFmtId="0" fontId="88" fillId="21" borderId="2" applyNumberFormat="0" applyAlignment="0" applyProtection="0"/>
    <xf numFmtId="0" fontId="88" fillId="21" borderId="2" applyNumberFormat="0" applyAlignment="0" applyProtection="0"/>
    <xf numFmtId="0" fontId="88" fillId="21" borderId="2" applyNumberFormat="0" applyAlignment="0" applyProtection="0"/>
    <xf numFmtId="0" fontId="88" fillId="21" borderId="2" applyNumberFormat="0" applyAlignment="0" applyProtection="0"/>
    <xf numFmtId="0" fontId="88" fillId="21" borderId="2" applyNumberFormat="0" applyAlignment="0" applyProtection="0"/>
    <xf numFmtId="0" fontId="88" fillId="21" borderId="2" applyNumberFormat="0" applyAlignment="0" applyProtection="0"/>
    <xf numFmtId="0" fontId="88" fillId="21" borderId="2" applyNumberFormat="0" applyAlignment="0" applyProtection="0"/>
    <xf numFmtId="0" fontId="88" fillId="21" borderId="2" applyNumberFormat="0" applyAlignment="0" applyProtection="0"/>
    <xf numFmtId="170" fontId="88" fillId="21" borderId="2" applyNumberFormat="0" applyAlignment="0" applyProtection="0"/>
    <xf numFmtId="170" fontId="88" fillId="21" borderId="2" applyNumberFormat="0" applyAlignment="0" applyProtection="0"/>
    <xf numFmtId="170" fontId="88" fillId="21" borderId="2" applyNumberFormat="0" applyAlignment="0" applyProtection="0"/>
    <xf numFmtId="170" fontId="88" fillId="21" borderId="2" applyNumberFormat="0" applyAlignment="0" applyProtection="0"/>
    <xf numFmtId="170" fontId="88" fillId="21" borderId="2" applyNumberFormat="0" applyAlignment="0" applyProtection="0"/>
    <xf numFmtId="170" fontId="88" fillId="21" borderId="2" applyNumberFormat="0" applyAlignment="0" applyProtection="0"/>
    <xf numFmtId="170" fontId="88" fillId="21" borderId="2" applyNumberFormat="0" applyAlignment="0" applyProtection="0"/>
    <xf numFmtId="170" fontId="88" fillId="21" borderId="2" applyNumberFormat="0" applyAlignment="0" applyProtection="0"/>
    <xf numFmtId="170" fontId="88" fillId="21" borderId="2" applyNumberFormat="0" applyAlignment="0" applyProtection="0"/>
    <xf numFmtId="0" fontId="88" fillId="21" borderId="2" applyNumberFormat="0" applyAlignment="0" applyProtection="0"/>
    <xf numFmtId="0" fontId="88" fillId="21" borderId="2" applyNumberFormat="0" applyAlignment="0" applyProtection="0"/>
    <xf numFmtId="0" fontId="88" fillId="21" borderId="2" applyNumberFormat="0" applyAlignment="0" applyProtection="0"/>
    <xf numFmtId="0" fontId="88" fillId="21" borderId="2" applyNumberFormat="0" applyAlignment="0" applyProtection="0"/>
    <xf numFmtId="0" fontId="88" fillId="21" borderId="2" applyNumberFormat="0" applyAlignment="0" applyProtection="0"/>
    <xf numFmtId="0" fontId="88" fillId="21" borderId="2" applyNumberFormat="0" applyAlignment="0" applyProtection="0"/>
    <xf numFmtId="0" fontId="88" fillId="21" borderId="2" applyNumberFormat="0" applyAlignment="0" applyProtection="0"/>
    <xf numFmtId="0" fontId="88" fillId="21" borderId="2" applyNumberFormat="0" applyAlignment="0" applyProtection="0"/>
    <xf numFmtId="0" fontId="88" fillId="21" borderId="2" applyNumberFormat="0" applyAlignment="0" applyProtection="0"/>
    <xf numFmtId="0" fontId="88" fillId="21" borderId="2" applyNumberFormat="0" applyAlignment="0" applyProtection="0"/>
    <xf numFmtId="0" fontId="88" fillId="21" borderId="2" applyNumberFormat="0" applyAlignment="0" applyProtection="0"/>
    <xf numFmtId="0" fontId="88" fillId="21" borderId="2" applyNumberFormat="0" applyAlignment="0" applyProtection="0"/>
    <xf numFmtId="0" fontId="88" fillId="21" borderId="2" applyNumberFormat="0" applyAlignment="0" applyProtection="0"/>
    <xf numFmtId="0" fontId="88" fillId="21" borderId="2" applyNumberFormat="0" applyAlignment="0" applyProtection="0"/>
    <xf numFmtId="0" fontId="140" fillId="0" borderId="0" applyNumberFormat="0" applyFill="0" applyBorder="0" applyAlignment="0" applyProtection="0"/>
    <xf numFmtId="170" fontId="140"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170" fontId="89" fillId="0" borderId="0" applyNumberFormat="0" applyFill="0" applyBorder="0" applyAlignment="0" applyProtection="0"/>
    <xf numFmtId="0" fontId="141" fillId="56" borderId="0" applyNumberFormat="0" applyBorder="0" applyAlignment="0" applyProtection="0"/>
    <xf numFmtId="170" fontId="141" fillId="56"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170" fontId="83" fillId="4" borderId="0" applyNumberFormat="0" applyBorder="0" applyAlignment="0" applyProtection="0"/>
    <xf numFmtId="0" fontId="141" fillId="56" borderId="0" applyNumberFormat="0" applyBorder="0" applyAlignment="0" applyProtection="0"/>
    <xf numFmtId="170" fontId="141" fillId="56" borderId="0" applyNumberFormat="0" applyBorder="0" applyAlignment="0" applyProtection="0"/>
    <xf numFmtId="0" fontId="141" fillId="56" borderId="0" applyNumberFormat="0" applyBorder="0" applyAlignment="0" applyProtection="0"/>
    <xf numFmtId="170" fontId="141" fillId="56" borderId="0" applyNumberFormat="0" applyBorder="0" applyAlignment="0" applyProtection="0"/>
    <xf numFmtId="0" fontId="141" fillId="56" borderId="0" applyNumberFormat="0" applyBorder="0" applyAlignment="0" applyProtection="0"/>
    <xf numFmtId="170" fontId="141" fillId="56" borderId="0" applyNumberFormat="0" applyBorder="0" applyAlignment="0" applyProtection="0"/>
    <xf numFmtId="0" fontId="141" fillId="56" borderId="0" applyNumberFormat="0" applyBorder="0" applyAlignment="0" applyProtection="0"/>
    <xf numFmtId="170" fontId="141" fillId="56" borderId="0" applyNumberFormat="0" applyBorder="0" applyAlignment="0" applyProtection="0"/>
    <xf numFmtId="0" fontId="142" fillId="0" borderId="64" applyNumberFormat="0" applyFill="0" applyAlignment="0" applyProtection="0"/>
    <xf numFmtId="170" fontId="142" fillId="0" borderId="64" applyNumberFormat="0" applyFill="0" applyAlignment="0" applyProtection="0"/>
    <xf numFmtId="0" fontId="90" fillId="0" borderId="3" applyNumberFormat="0" applyFill="0" applyAlignment="0" applyProtection="0"/>
    <xf numFmtId="0" fontId="90" fillId="0" borderId="3" applyNumberFormat="0" applyFill="0" applyAlignment="0" applyProtection="0"/>
    <xf numFmtId="170" fontId="90" fillId="0" borderId="3" applyNumberFormat="0" applyFill="0" applyAlignment="0" applyProtection="0"/>
    <xf numFmtId="0" fontId="143" fillId="0" borderId="65" applyNumberFormat="0" applyFill="0" applyAlignment="0" applyProtection="0"/>
    <xf numFmtId="170" fontId="143" fillId="0" borderId="65" applyNumberFormat="0" applyFill="0" applyAlignment="0" applyProtection="0"/>
    <xf numFmtId="0" fontId="91" fillId="0" borderId="4" applyNumberFormat="0" applyFill="0" applyAlignment="0" applyProtection="0"/>
    <xf numFmtId="0" fontId="91" fillId="0" borderId="4" applyNumberFormat="0" applyFill="0" applyAlignment="0" applyProtection="0"/>
    <xf numFmtId="170" fontId="91" fillId="0" borderId="4" applyNumberFormat="0" applyFill="0" applyAlignment="0" applyProtection="0"/>
    <xf numFmtId="0" fontId="144" fillId="0" borderId="66" applyNumberFormat="0" applyFill="0" applyAlignment="0" applyProtection="0"/>
    <xf numFmtId="170" fontId="144" fillId="0" borderId="66" applyNumberFormat="0" applyFill="0" applyAlignment="0" applyProtection="0"/>
    <xf numFmtId="0" fontId="92" fillId="0" borderId="5" applyNumberFormat="0" applyFill="0" applyAlignment="0" applyProtection="0"/>
    <xf numFmtId="0" fontId="92" fillId="0" borderId="5" applyNumberFormat="0" applyFill="0" applyAlignment="0" applyProtection="0"/>
    <xf numFmtId="170" fontId="92" fillId="0" borderId="5" applyNumberFormat="0" applyFill="0" applyAlignment="0" applyProtection="0"/>
    <xf numFmtId="0" fontId="144" fillId="0" borderId="0" applyNumberFormat="0" applyFill="0" applyBorder="0" applyAlignment="0" applyProtection="0"/>
    <xf numFmtId="170" fontId="144"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170" fontId="92" fillId="0" borderId="0" applyNumberFormat="0" applyFill="0" applyBorder="0" applyAlignment="0" applyProtection="0"/>
    <xf numFmtId="0" fontId="145" fillId="0" borderId="0" applyNumberFormat="0" applyFill="0" applyBorder="0" applyAlignment="0" applyProtection="0"/>
    <xf numFmtId="0" fontId="146" fillId="0" borderId="0" applyNumberFormat="0" applyFill="0" applyBorder="0" applyAlignment="0" applyProtection="0">
      <alignment vertical="top"/>
      <protection locked="0"/>
    </xf>
    <xf numFmtId="170" fontId="146" fillId="0" borderId="0" applyNumberFormat="0" applyFill="0" applyBorder="0" applyAlignment="0" applyProtection="0">
      <alignment vertical="top"/>
      <protection locked="0"/>
    </xf>
    <xf numFmtId="0" fontId="146" fillId="0" borderId="0" applyNumberFormat="0" applyFill="0" applyBorder="0" applyAlignment="0" applyProtection="0">
      <alignment vertical="top"/>
      <protection locked="0"/>
    </xf>
    <xf numFmtId="0" fontId="127" fillId="0" borderId="0" applyNumberFormat="0" applyFill="0" applyBorder="0" applyAlignment="0" applyProtection="0">
      <alignment vertical="top"/>
      <protection locked="0"/>
    </xf>
    <xf numFmtId="0" fontId="145" fillId="0" borderId="0" applyNumberFormat="0" applyFill="0" applyBorder="0" applyAlignment="0" applyProtection="0"/>
    <xf numFmtId="0" fontId="146" fillId="0" borderId="0" applyNumberFormat="0" applyFill="0" applyBorder="0" applyAlignment="0" applyProtection="0">
      <alignment vertical="top"/>
      <protection locked="0"/>
    </xf>
    <xf numFmtId="170" fontId="146" fillId="0" borderId="0" applyNumberFormat="0" applyFill="0" applyBorder="0" applyAlignment="0" applyProtection="0">
      <alignment vertical="top"/>
      <protection locked="0"/>
    </xf>
    <xf numFmtId="0" fontId="126" fillId="0" borderId="0" applyNumberFormat="0" applyFill="0" applyBorder="0" applyAlignment="0" applyProtection="0"/>
    <xf numFmtId="0" fontId="147" fillId="57" borderId="62" applyNumberFormat="0" applyAlignment="0" applyProtection="0"/>
    <xf numFmtId="170" fontId="147" fillId="57" borderId="62" applyNumberFormat="0" applyAlignment="0" applyProtection="0"/>
    <xf numFmtId="0" fontId="93" fillId="7" borderId="1" applyNumberFormat="0" applyAlignment="0" applyProtection="0"/>
    <xf numFmtId="0" fontId="93" fillId="7" borderId="1" applyNumberFormat="0" applyAlignment="0" applyProtection="0"/>
    <xf numFmtId="170" fontId="93" fillId="7" borderId="1" applyNumberFormat="0" applyAlignment="0" applyProtection="0"/>
    <xf numFmtId="0" fontId="148" fillId="0" borderId="67" applyNumberFormat="0" applyFill="0" applyAlignment="0" applyProtection="0"/>
    <xf numFmtId="170" fontId="148" fillId="0" borderId="67" applyNumberFormat="0" applyFill="0" applyAlignment="0" applyProtection="0"/>
    <xf numFmtId="0" fontId="94" fillId="0" borderId="6" applyNumberFormat="0" applyFill="0" applyAlignment="0" applyProtection="0"/>
    <xf numFmtId="0" fontId="94" fillId="0" borderId="6" applyNumberFormat="0" applyFill="0" applyAlignment="0" applyProtection="0"/>
    <xf numFmtId="0" fontId="94" fillId="0" borderId="6" applyNumberFormat="0" applyFill="0" applyAlignment="0" applyProtection="0"/>
    <xf numFmtId="170" fontId="94" fillId="0" borderId="6" applyNumberFormat="0" applyFill="0" applyAlignment="0" applyProtection="0"/>
    <xf numFmtId="170" fontId="94" fillId="0" borderId="6" applyNumberFormat="0" applyFill="0" applyAlignment="0" applyProtection="0"/>
    <xf numFmtId="0" fontId="94" fillId="0" borderId="6" applyNumberFormat="0" applyFill="0" applyAlignment="0" applyProtection="0"/>
    <xf numFmtId="0" fontId="149" fillId="58" borderId="0" applyNumberFormat="0" applyBorder="0" applyAlignment="0" applyProtection="0"/>
    <xf numFmtId="170" fontId="149" fillId="58" borderId="0" applyNumberFormat="0" applyBorder="0" applyAlignment="0" applyProtection="0"/>
    <xf numFmtId="0" fontId="95" fillId="22" borderId="0" applyNumberFormat="0" applyBorder="0" applyAlignment="0" applyProtection="0"/>
    <xf numFmtId="0" fontId="95" fillId="22" borderId="0" applyNumberFormat="0" applyBorder="0" applyAlignment="0" applyProtection="0"/>
    <xf numFmtId="170" fontId="95" fillId="22" borderId="0" applyNumberFormat="0" applyBorder="0" applyAlignment="0" applyProtection="0"/>
    <xf numFmtId="170" fontId="149" fillId="58" borderId="0" applyNumberFormat="0" applyBorder="0" applyAlignment="0" applyProtection="0"/>
    <xf numFmtId="0" fontId="95" fillId="22" borderId="0" applyNumberFormat="0" applyBorder="0" applyAlignment="0" applyProtection="0"/>
    <xf numFmtId="0" fontId="12" fillId="0" borderId="0"/>
    <xf numFmtId="0" fontId="14" fillId="0" borderId="0"/>
    <xf numFmtId="0" fontId="133" fillId="0" borderId="0"/>
    <xf numFmtId="0" fontId="128" fillId="0" borderId="0"/>
    <xf numFmtId="170" fontId="133" fillId="0" borderId="0"/>
    <xf numFmtId="170" fontId="134" fillId="0" borderId="0"/>
    <xf numFmtId="170" fontId="124" fillId="0" borderId="0"/>
    <xf numFmtId="170" fontId="124" fillId="0" borderId="0"/>
    <xf numFmtId="0" fontId="12" fillId="0" borderId="0"/>
    <xf numFmtId="0" fontId="133" fillId="0" borderId="0"/>
    <xf numFmtId="0" fontId="133" fillId="0" borderId="0"/>
    <xf numFmtId="0" fontId="14" fillId="0" borderId="0"/>
    <xf numFmtId="0" fontId="14" fillId="0" borderId="0"/>
    <xf numFmtId="0" fontId="150" fillId="0" borderId="0"/>
    <xf numFmtId="0" fontId="128" fillId="0" borderId="0"/>
    <xf numFmtId="0" fontId="14" fillId="0" borderId="0"/>
    <xf numFmtId="0" fontId="133" fillId="0" borderId="0"/>
    <xf numFmtId="0" fontId="133" fillId="0" borderId="0"/>
    <xf numFmtId="0" fontId="133" fillId="0" borderId="0"/>
    <xf numFmtId="0" fontId="133" fillId="0" borderId="0"/>
    <xf numFmtId="0" fontId="133" fillId="0" borderId="0"/>
    <xf numFmtId="0" fontId="133" fillId="0" borderId="0"/>
    <xf numFmtId="0" fontId="14" fillId="0" borderId="0"/>
    <xf numFmtId="0" fontId="14" fillId="0" borderId="0"/>
    <xf numFmtId="0" fontId="133" fillId="0" borderId="0"/>
    <xf numFmtId="0" fontId="68" fillId="0" borderId="0"/>
    <xf numFmtId="0" fontId="14" fillId="0" borderId="0"/>
    <xf numFmtId="170" fontId="14" fillId="0" borderId="0"/>
    <xf numFmtId="0" fontId="68" fillId="0" borderId="0"/>
    <xf numFmtId="170" fontId="68" fillId="0" borderId="0"/>
    <xf numFmtId="170" fontId="14" fillId="0" borderId="0"/>
    <xf numFmtId="0" fontId="133" fillId="0" borderId="0"/>
    <xf numFmtId="0" fontId="68" fillId="0" borderId="0"/>
    <xf numFmtId="0" fontId="133" fillId="0" borderId="0"/>
    <xf numFmtId="0" fontId="14" fillId="0" borderId="0"/>
    <xf numFmtId="0" fontId="68" fillId="0" borderId="0"/>
    <xf numFmtId="0" fontId="133" fillId="0" borderId="0"/>
    <xf numFmtId="170" fontId="133" fillId="0" borderId="0"/>
    <xf numFmtId="0" fontId="133" fillId="0" borderId="0"/>
    <xf numFmtId="0" fontId="133" fillId="0" borderId="0"/>
    <xf numFmtId="170" fontId="68" fillId="0" borderId="0"/>
    <xf numFmtId="0" fontId="14" fillId="0" borderId="0"/>
    <xf numFmtId="0" fontId="68" fillId="0" borderId="0"/>
    <xf numFmtId="0" fontId="14" fillId="0" borderId="0"/>
    <xf numFmtId="0" fontId="133" fillId="0" borderId="0"/>
    <xf numFmtId="0" fontId="12" fillId="0" borderId="0"/>
    <xf numFmtId="0" fontId="134" fillId="0" borderId="0"/>
    <xf numFmtId="170" fontId="134" fillId="0" borderId="0"/>
    <xf numFmtId="0" fontId="124" fillId="0" borderId="0"/>
    <xf numFmtId="0" fontId="124" fillId="0" borderId="0"/>
    <xf numFmtId="170" fontId="12" fillId="0" borderId="0"/>
    <xf numFmtId="0" fontId="14" fillId="0" borderId="0"/>
    <xf numFmtId="0" fontId="12" fillId="0" borderId="0"/>
    <xf numFmtId="0" fontId="14" fillId="0" borderId="0"/>
    <xf numFmtId="0" fontId="134" fillId="0" borderId="0"/>
    <xf numFmtId="170" fontId="134" fillId="0" borderId="0"/>
    <xf numFmtId="0" fontId="124" fillId="0" borderId="0"/>
    <xf numFmtId="0" fontId="14" fillId="0" borderId="0"/>
    <xf numFmtId="0" fontId="12" fillId="0" borderId="0"/>
    <xf numFmtId="0" fontId="134" fillId="0" borderId="0"/>
    <xf numFmtId="0" fontId="124" fillId="0" borderId="0"/>
    <xf numFmtId="0" fontId="14" fillId="0" borderId="0"/>
    <xf numFmtId="0" fontId="133" fillId="0" borderId="0"/>
    <xf numFmtId="170" fontId="133" fillId="0" borderId="0"/>
    <xf numFmtId="0" fontId="133" fillId="0" borderId="0"/>
    <xf numFmtId="0" fontId="14" fillId="0" borderId="0"/>
    <xf numFmtId="0" fontId="133" fillId="0" borderId="0"/>
    <xf numFmtId="0" fontId="133" fillId="0" borderId="0"/>
    <xf numFmtId="0" fontId="14" fillId="0" borderId="0"/>
    <xf numFmtId="0" fontId="133" fillId="0" borderId="0"/>
    <xf numFmtId="0" fontId="133" fillId="0" borderId="0"/>
    <xf numFmtId="0" fontId="14" fillId="0" borderId="0"/>
    <xf numFmtId="170" fontId="14" fillId="0" borderId="0"/>
    <xf numFmtId="0" fontId="133" fillId="0" borderId="0"/>
    <xf numFmtId="0" fontId="133" fillId="0" borderId="0"/>
    <xf numFmtId="170" fontId="133" fillId="0" borderId="0"/>
    <xf numFmtId="0" fontId="12" fillId="0" borderId="0"/>
    <xf numFmtId="170" fontId="133" fillId="0" borderId="0"/>
    <xf numFmtId="170" fontId="14" fillId="0" borderId="0"/>
    <xf numFmtId="0" fontId="133" fillId="0" borderId="0"/>
    <xf numFmtId="0" fontId="12" fillId="0" borderId="0"/>
    <xf numFmtId="0" fontId="133" fillId="0" borderId="0"/>
    <xf numFmtId="0" fontId="133" fillId="0" borderId="0"/>
    <xf numFmtId="0" fontId="82" fillId="0" borderId="0"/>
    <xf numFmtId="0" fontId="133" fillId="0" borderId="0"/>
    <xf numFmtId="0" fontId="133" fillId="0" borderId="0"/>
    <xf numFmtId="0" fontId="133" fillId="0" borderId="0"/>
    <xf numFmtId="0" fontId="133" fillId="0" borderId="0"/>
    <xf numFmtId="170" fontId="82" fillId="0" borderId="0"/>
    <xf numFmtId="0" fontId="125" fillId="0" borderId="0"/>
    <xf numFmtId="0" fontId="82" fillId="0" borderId="0"/>
    <xf numFmtId="0" fontId="82" fillId="0" borderId="0"/>
    <xf numFmtId="0" fontId="129" fillId="0" borderId="0"/>
    <xf numFmtId="0" fontId="125" fillId="0" borderId="0"/>
    <xf numFmtId="0" fontId="129" fillId="0" borderId="0"/>
    <xf numFmtId="0" fontId="133" fillId="0" borderId="0"/>
    <xf numFmtId="0" fontId="82" fillId="0" borderId="0"/>
    <xf numFmtId="0" fontId="82" fillId="0" borderId="0"/>
    <xf numFmtId="0" fontId="133" fillId="0" borderId="0"/>
    <xf numFmtId="0" fontId="133" fillId="0" borderId="0"/>
    <xf numFmtId="170" fontId="82" fillId="0" borderId="0"/>
    <xf numFmtId="0" fontId="125" fillId="0" borderId="0"/>
    <xf numFmtId="0" fontId="82" fillId="0" borderId="0"/>
    <xf numFmtId="0" fontId="82" fillId="0" borderId="0"/>
    <xf numFmtId="0" fontId="129" fillId="0" borderId="0"/>
    <xf numFmtId="0" fontId="133" fillId="0" borderId="0"/>
    <xf numFmtId="0" fontId="125" fillId="0" borderId="0"/>
    <xf numFmtId="0" fontId="129" fillId="0" borderId="0"/>
    <xf numFmtId="0" fontId="82" fillId="0" borderId="0"/>
    <xf numFmtId="0" fontId="151" fillId="0" borderId="0"/>
    <xf numFmtId="170" fontId="151" fillId="0" borderId="0"/>
    <xf numFmtId="0" fontId="123" fillId="0" borderId="0"/>
    <xf numFmtId="0" fontId="123" fillId="0" borderId="0"/>
    <xf numFmtId="0" fontId="14" fillId="0" borderId="0"/>
    <xf numFmtId="170" fontId="14" fillId="0" borderId="0"/>
    <xf numFmtId="0" fontId="151" fillId="0" borderId="0"/>
    <xf numFmtId="170" fontId="151" fillId="0" borderId="0"/>
    <xf numFmtId="0" fontId="123" fillId="0" borderId="0"/>
    <xf numFmtId="0" fontId="123" fillId="0" borderId="0"/>
    <xf numFmtId="0" fontId="133" fillId="0" borderId="0"/>
    <xf numFmtId="170" fontId="133" fillId="0" borderId="0"/>
    <xf numFmtId="0" fontId="133" fillId="0" borderId="0"/>
    <xf numFmtId="0" fontId="133" fillId="0" borderId="0"/>
    <xf numFmtId="0" fontId="12" fillId="0" borderId="0"/>
    <xf numFmtId="170" fontId="12" fillId="0" borderId="0"/>
    <xf numFmtId="0" fontId="12" fillId="0" borderId="0"/>
    <xf numFmtId="0" fontId="133" fillId="0" borderId="0"/>
    <xf numFmtId="0" fontId="2" fillId="0" borderId="0"/>
    <xf numFmtId="0" fontId="12" fillId="0" borderId="0"/>
    <xf numFmtId="0" fontId="134" fillId="0" borderId="0"/>
    <xf numFmtId="0" fontId="14" fillId="0" borderId="0"/>
    <xf numFmtId="170" fontId="14" fillId="0" borderId="0"/>
    <xf numFmtId="0" fontId="14" fillId="0" borderId="0"/>
    <xf numFmtId="170" fontId="14" fillId="0" borderId="0"/>
    <xf numFmtId="0" fontId="82" fillId="0" borderId="0"/>
    <xf numFmtId="170" fontId="82" fillId="0" borderId="0"/>
    <xf numFmtId="0" fontId="125" fillId="0" borderId="0"/>
    <xf numFmtId="0" fontId="82" fillId="0" borderId="0"/>
    <xf numFmtId="0" fontId="82" fillId="0" borderId="0"/>
    <xf numFmtId="0" fontId="129" fillId="0" borderId="0"/>
    <xf numFmtId="0" fontId="125" fillId="0" borderId="0"/>
    <xf numFmtId="0" fontId="129" fillId="0" borderId="0"/>
    <xf numFmtId="0" fontId="82" fillId="0" borderId="0"/>
    <xf numFmtId="0" fontId="133" fillId="0" borderId="0"/>
    <xf numFmtId="0" fontId="133" fillId="0" borderId="0"/>
    <xf numFmtId="0" fontId="12" fillId="0" borderId="0"/>
    <xf numFmtId="0" fontId="12" fillId="0" borderId="0"/>
    <xf numFmtId="170" fontId="12" fillId="0" borderId="0"/>
    <xf numFmtId="170" fontId="14" fillId="0" borderId="0"/>
    <xf numFmtId="0" fontId="12" fillId="0" borderId="0"/>
    <xf numFmtId="0" fontId="133" fillId="0" borderId="0"/>
    <xf numFmtId="0" fontId="81" fillId="0" borderId="0"/>
    <xf numFmtId="0" fontId="12" fillId="0" borderId="0"/>
    <xf numFmtId="0" fontId="133" fillId="0" borderId="0"/>
    <xf numFmtId="170" fontId="133" fillId="0" borderId="0"/>
    <xf numFmtId="0" fontId="133" fillId="0" borderId="0"/>
    <xf numFmtId="0" fontId="133" fillId="0" borderId="0"/>
    <xf numFmtId="0" fontId="82" fillId="0" borderId="0"/>
    <xf numFmtId="170" fontId="82" fillId="0" borderId="0"/>
    <xf numFmtId="0" fontId="125" fillId="0" borderId="0"/>
    <xf numFmtId="0" fontId="82" fillId="0" borderId="0"/>
    <xf numFmtId="0" fontId="82" fillId="0" borderId="0"/>
    <xf numFmtId="0" fontId="129" fillId="0" borderId="0"/>
    <xf numFmtId="0" fontId="125" fillId="0" borderId="0"/>
    <xf numFmtId="0" fontId="129" fillId="0" borderId="0"/>
    <xf numFmtId="0" fontId="82" fillId="0" borderId="0"/>
    <xf numFmtId="0" fontId="82" fillId="0" borderId="0"/>
    <xf numFmtId="170" fontId="82" fillId="0" borderId="0"/>
    <xf numFmtId="0" fontId="125" fillId="0" borderId="0"/>
    <xf numFmtId="0" fontId="82" fillId="0" borderId="0"/>
    <xf numFmtId="0" fontId="82" fillId="0" borderId="0"/>
    <xf numFmtId="0" fontId="129" fillId="0" borderId="0"/>
    <xf numFmtId="0" fontId="125" fillId="0" borderId="0"/>
    <xf numFmtId="0" fontId="129" fillId="0" borderId="0"/>
    <xf numFmtId="0" fontId="82" fillId="0" borderId="0"/>
    <xf numFmtId="0" fontId="12" fillId="0" borderId="0"/>
    <xf numFmtId="170" fontId="12" fillId="0" borderId="0"/>
    <xf numFmtId="0" fontId="133" fillId="0" borderId="0"/>
    <xf numFmtId="0" fontId="133" fillId="0" borderId="0"/>
    <xf numFmtId="0" fontId="12" fillId="0" borderId="0"/>
    <xf numFmtId="0" fontId="133" fillId="0" borderId="0"/>
    <xf numFmtId="0" fontId="12" fillId="0" borderId="0"/>
    <xf numFmtId="0" fontId="14" fillId="0" borderId="0"/>
    <xf numFmtId="170" fontId="14" fillId="0" borderId="0"/>
    <xf numFmtId="170" fontId="12" fillId="0" borderId="0"/>
    <xf numFmtId="0" fontId="133" fillId="0" borderId="0"/>
    <xf numFmtId="0" fontId="133" fillId="0" borderId="0"/>
    <xf numFmtId="0" fontId="12" fillId="0" borderId="0"/>
    <xf numFmtId="0" fontId="133" fillId="0" borderId="0"/>
    <xf numFmtId="0" fontId="133" fillId="0" borderId="0"/>
    <xf numFmtId="0" fontId="150" fillId="0" borderId="0"/>
    <xf numFmtId="0" fontId="133" fillId="0" borderId="0"/>
    <xf numFmtId="0" fontId="12" fillId="0" borderId="0"/>
    <xf numFmtId="0" fontId="133" fillId="0" borderId="0"/>
    <xf numFmtId="170" fontId="133" fillId="0" borderId="0"/>
    <xf numFmtId="0" fontId="133" fillId="0" borderId="0"/>
    <xf numFmtId="0" fontId="133" fillId="0" borderId="0"/>
    <xf numFmtId="0" fontId="12" fillId="0" borderId="0"/>
    <xf numFmtId="170" fontId="12" fillId="0" borderId="0"/>
    <xf numFmtId="170" fontId="133" fillId="0" borderId="0"/>
    <xf numFmtId="0" fontId="133" fillId="0" borderId="0"/>
    <xf numFmtId="0" fontId="12" fillId="0" borderId="0"/>
    <xf numFmtId="0" fontId="133" fillId="0" borderId="0"/>
    <xf numFmtId="0" fontId="2" fillId="0" borderId="0"/>
    <xf numFmtId="0" fontId="76" fillId="0" borderId="0"/>
    <xf numFmtId="0" fontId="68" fillId="0" borderId="0"/>
    <xf numFmtId="0" fontId="68" fillId="0" borderId="0"/>
    <xf numFmtId="0" fontId="68" fillId="0" borderId="0"/>
    <xf numFmtId="170" fontId="68" fillId="0" borderId="0"/>
    <xf numFmtId="0" fontId="150" fillId="0" borderId="0"/>
    <xf numFmtId="0" fontId="84" fillId="0" borderId="0"/>
    <xf numFmtId="0" fontId="122" fillId="0" borderId="0"/>
    <xf numFmtId="0" fontId="150" fillId="0" borderId="0"/>
    <xf numFmtId="0" fontId="150" fillId="0" borderId="0"/>
    <xf numFmtId="0" fontId="150" fillId="0" borderId="0"/>
    <xf numFmtId="0" fontId="150" fillId="0" borderId="0"/>
    <xf numFmtId="0" fontId="122" fillId="0" borderId="0"/>
    <xf numFmtId="0" fontId="122" fillId="0" borderId="0"/>
    <xf numFmtId="0" fontId="150" fillId="0" borderId="0"/>
    <xf numFmtId="0" fontId="122" fillId="0" borderId="0"/>
    <xf numFmtId="0" fontId="122" fillId="0" borderId="0"/>
    <xf numFmtId="0" fontId="150" fillId="0" borderId="0"/>
    <xf numFmtId="0" fontId="150" fillId="0" borderId="0"/>
    <xf numFmtId="0" fontId="150" fillId="0" borderId="0"/>
    <xf numFmtId="0" fontId="122" fillId="0" borderId="0"/>
    <xf numFmtId="0" fontId="122" fillId="0" borderId="0"/>
    <xf numFmtId="0" fontId="150" fillId="0" borderId="0"/>
    <xf numFmtId="0" fontId="122" fillId="0" borderId="0"/>
    <xf numFmtId="0" fontId="122" fillId="0" borderId="0"/>
    <xf numFmtId="0" fontId="150" fillId="0" borderId="0"/>
    <xf numFmtId="0" fontId="150" fillId="0" borderId="0"/>
    <xf numFmtId="0" fontId="122" fillId="0" borderId="0"/>
    <xf numFmtId="0" fontId="122" fillId="0" borderId="0"/>
    <xf numFmtId="0" fontId="150" fillId="0" borderId="0"/>
    <xf numFmtId="0" fontId="122" fillId="0" borderId="0"/>
    <xf numFmtId="0" fontId="122" fillId="0" borderId="0"/>
    <xf numFmtId="0" fontId="150" fillId="0" borderId="0"/>
    <xf numFmtId="0" fontId="150" fillId="0" borderId="0"/>
    <xf numFmtId="0" fontId="150" fillId="0" borderId="0"/>
    <xf numFmtId="0" fontId="150" fillId="0" borderId="0"/>
    <xf numFmtId="0" fontId="122" fillId="0" borderId="0"/>
    <xf numFmtId="0" fontId="122" fillId="0" borderId="0"/>
    <xf numFmtId="0" fontId="150" fillId="0" borderId="0"/>
    <xf numFmtId="0" fontId="122" fillId="0" borderId="0"/>
    <xf numFmtId="0" fontId="122" fillId="0" borderId="0"/>
    <xf numFmtId="0" fontId="150" fillId="0" borderId="0"/>
    <xf numFmtId="0" fontId="150" fillId="0" borderId="0"/>
    <xf numFmtId="0" fontId="150" fillId="0" borderId="0"/>
    <xf numFmtId="0" fontId="122" fillId="0" borderId="0"/>
    <xf numFmtId="0" fontId="122" fillId="0" borderId="0"/>
    <xf numFmtId="0" fontId="150" fillId="0" borderId="0"/>
    <xf numFmtId="0" fontId="122" fillId="0" borderId="0"/>
    <xf numFmtId="0" fontId="122" fillId="0" borderId="0"/>
    <xf numFmtId="0" fontId="150" fillId="0" borderId="0"/>
    <xf numFmtId="0" fontId="150" fillId="0" borderId="0"/>
    <xf numFmtId="0" fontId="122" fillId="0" borderId="0"/>
    <xf numFmtId="0" fontId="122" fillId="0" borderId="0"/>
    <xf numFmtId="0" fontId="150" fillId="0" borderId="0"/>
    <xf numFmtId="0" fontId="122" fillId="0" borderId="0"/>
    <xf numFmtId="0" fontId="122" fillId="0" borderId="0"/>
    <xf numFmtId="0" fontId="150" fillId="0" borderId="0"/>
    <xf numFmtId="0" fontId="150" fillId="0" borderId="0"/>
    <xf numFmtId="0" fontId="150" fillId="0" borderId="0"/>
    <xf numFmtId="0" fontId="150" fillId="0" borderId="0"/>
    <xf numFmtId="0" fontId="122" fillId="0" borderId="0"/>
    <xf numFmtId="0" fontId="122" fillId="0" borderId="0"/>
    <xf numFmtId="0" fontId="150" fillId="0" borderId="0"/>
    <xf numFmtId="0" fontId="122" fillId="0" borderId="0"/>
    <xf numFmtId="0" fontId="122" fillId="0" borderId="0"/>
    <xf numFmtId="0" fontId="150" fillId="0" borderId="0"/>
    <xf numFmtId="0" fontId="150" fillId="0" borderId="0"/>
    <xf numFmtId="0" fontId="122" fillId="0" borderId="0"/>
    <xf numFmtId="0" fontId="122" fillId="0" borderId="0"/>
    <xf numFmtId="0" fontId="150" fillId="0" borderId="0"/>
    <xf numFmtId="0" fontId="122" fillId="0" borderId="0"/>
    <xf numFmtId="0" fontId="122" fillId="0" borderId="0"/>
    <xf numFmtId="0" fontId="150" fillId="0" borderId="0"/>
    <xf numFmtId="0" fontId="150" fillId="0" borderId="0"/>
    <xf numFmtId="0" fontId="150" fillId="0" borderId="0"/>
    <xf numFmtId="0" fontId="150" fillId="0" borderId="0"/>
    <xf numFmtId="0" fontId="122" fillId="0" borderId="0"/>
    <xf numFmtId="0" fontId="122" fillId="0" borderId="0"/>
    <xf numFmtId="0" fontId="150" fillId="0" borderId="0"/>
    <xf numFmtId="0" fontId="122" fillId="0" borderId="0"/>
    <xf numFmtId="0" fontId="122" fillId="0" borderId="0"/>
    <xf numFmtId="0" fontId="150" fillId="0" borderId="0"/>
    <xf numFmtId="0" fontId="150" fillId="0" borderId="0"/>
    <xf numFmtId="0" fontId="122" fillId="0" borderId="0"/>
    <xf numFmtId="0" fontId="122" fillId="0" borderId="0"/>
    <xf numFmtId="0" fontId="150" fillId="0" borderId="0"/>
    <xf numFmtId="0" fontId="122" fillId="0" borderId="0"/>
    <xf numFmtId="0" fontId="122" fillId="0" borderId="0"/>
    <xf numFmtId="0" fontId="150" fillId="0" borderId="0"/>
    <xf numFmtId="0" fontId="150" fillId="0" borderId="0"/>
    <xf numFmtId="0" fontId="150" fillId="0" borderId="0"/>
    <xf numFmtId="0" fontId="122" fillId="0" borderId="0"/>
    <xf numFmtId="0" fontId="122" fillId="0" borderId="0"/>
    <xf numFmtId="0" fontId="150" fillId="0" borderId="0"/>
    <xf numFmtId="0" fontId="122" fillId="0" borderId="0"/>
    <xf numFmtId="0" fontId="122" fillId="0" borderId="0"/>
    <xf numFmtId="0" fontId="150" fillId="0" borderId="0"/>
    <xf numFmtId="0" fontId="150" fillId="0" borderId="0"/>
    <xf numFmtId="0" fontId="122" fillId="0" borderId="0"/>
    <xf numFmtId="0" fontId="122" fillId="0" borderId="0"/>
    <xf numFmtId="0" fontId="150" fillId="0" borderId="0"/>
    <xf numFmtId="0" fontId="122" fillId="0" borderId="0"/>
    <xf numFmtId="170" fontId="150" fillId="0" borderId="0"/>
    <xf numFmtId="0" fontId="150" fillId="0" borderId="0"/>
    <xf numFmtId="0" fontId="68" fillId="0" borderId="0"/>
    <xf numFmtId="0" fontId="122" fillId="0" borderId="0"/>
    <xf numFmtId="0" fontId="150" fillId="0" borderId="0"/>
    <xf numFmtId="0" fontId="150" fillId="0" borderId="0"/>
    <xf numFmtId="0" fontId="122" fillId="0" borderId="0"/>
    <xf numFmtId="0" fontId="150" fillId="0" borderId="0"/>
    <xf numFmtId="0" fontId="68" fillId="0" borderId="0"/>
    <xf numFmtId="0" fontId="122" fillId="0" borderId="0"/>
    <xf numFmtId="0" fontId="150" fillId="0" borderId="0"/>
    <xf numFmtId="0" fontId="150" fillId="0" borderId="0"/>
    <xf numFmtId="0" fontId="122" fillId="0" borderId="0"/>
    <xf numFmtId="0" fontId="150" fillId="0" borderId="0"/>
    <xf numFmtId="0" fontId="68" fillId="0" borderId="0"/>
    <xf numFmtId="0" fontId="122" fillId="0" borderId="0"/>
    <xf numFmtId="0" fontId="150" fillId="0" borderId="0"/>
    <xf numFmtId="0" fontId="150" fillId="0" borderId="0"/>
    <xf numFmtId="0" fontId="122" fillId="0" borderId="0"/>
    <xf numFmtId="170" fontId="68" fillId="0" borderId="0"/>
    <xf numFmtId="0" fontId="68" fillId="0" borderId="0"/>
    <xf numFmtId="0" fontId="133" fillId="0" borderId="0"/>
    <xf numFmtId="0" fontId="133" fillId="0" borderId="0"/>
    <xf numFmtId="0" fontId="68" fillId="0" borderId="0"/>
    <xf numFmtId="0" fontId="133" fillId="0" borderId="0"/>
    <xf numFmtId="0" fontId="68" fillId="0" borderId="0"/>
    <xf numFmtId="0" fontId="12" fillId="0" borderId="0"/>
    <xf numFmtId="0" fontId="150" fillId="0" borderId="0"/>
    <xf numFmtId="0" fontId="150" fillId="0" borderId="0"/>
    <xf numFmtId="0" fontId="122" fillId="0" borderId="0"/>
    <xf numFmtId="0" fontId="122" fillId="0" borderId="0"/>
    <xf numFmtId="0" fontId="150" fillId="0" borderId="0"/>
    <xf numFmtId="0" fontId="150" fillId="0" borderId="0"/>
    <xf numFmtId="0" fontId="122" fillId="0" borderId="0"/>
    <xf numFmtId="0" fontId="122" fillId="0" borderId="0"/>
    <xf numFmtId="0" fontId="150" fillId="0" borderId="0"/>
    <xf numFmtId="0" fontId="150" fillId="0" borderId="0"/>
    <xf numFmtId="0" fontId="122" fillId="0" borderId="0"/>
    <xf numFmtId="0" fontId="122" fillId="0" borderId="0"/>
    <xf numFmtId="170" fontId="12" fillId="0" borderId="0"/>
    <xf numFmtId="0" fontId="130" fillId="0" borderId="0"/>
    <xf numFmtId="0" fontId="14" fillId="0" borderId="0"/>
    <xf numFmtId="0" fontId="13" fillId="0" borderId="0"/>
    <xf numFmtId="0" fontId="12" fillId="0" borderId="0"/>
    <xf numFmtId="0" fontId="14" fillId="0" borderId="0"/>
    <xf numFmtId="0" fontId="8" fillId="59" borderId="68" applyNumberFormat="0" applyFont="0" applyAlignment="0" applyProtection="0"/>
    <xf numFmtId="170" fontId="3" fillId="59" borderId="68" applyNumberFormat="0" applyFont="0" applyAlignment="0" applyProtection="0"/>
    <xf numFmtId="0" fontId="3" fillId="59" borderId="68" applyNumberFormat="0" applyFont="0" applyAlignment="0" applyProtection="0"/>
    <xf numFmtId="0" fontId="84" fillId="23" borderId="7" applyNumberFormat="0" applyFont="0" applyAlignment="0" applyProtection="0"/>
    <xf numFmtId="0" fontId="3" fillId="59" borderId="68" applyNumberFormat="0" applyFont="0" applyAlignment="0" applyProtection="0"/>
    <xf numFmtId="0" fontId="8" fillId="59" borderId="68" applyNumberFormat="0" applyFont="0" applyAlignment="0" applyProtection="0"/>
    <xf numFmtId="170" fontId="3" fillId="59" borderId="68" applyNumberFormat="0" applyFont="0" applyAlignment="0" applyProtection="0"/>
    <xf numFmtId="0" fontId="3" fillId="59" borderId="68" applyNumberFormat="0" applyFont="0" applyAlignment="0" applyProtection="0"/>
    <xf numFmtId="0" fontId="3" fillId="59" borderId="68" applyNumberFormat="0" applyFont="0" applyAlignment="0" applyProtection="0"/>
    <xf numFmtId="0" fontId="14" fillId="23" borderId="7" applyNumberFormat="0" applyFont="0" applyAlignment="0" applyProtection="0"/>
    <xf numFmtId="170" fontId="14" fillId="23" borderId="7" applyNumberFormat="0" applyFont="0" applyAlignment="0" applyProtection="0"/>
    <xf numFmtId="0" fontId="8" fillId="59" borderId="68" applyNumberFormat="0" applyFont="0" applyAlignment="0" applyProtection="0"/>
    <xf numFmtId="170" fontId="3" fillId="59" borderId="68" applyNumberFormat="0" applyFont="0" applyAlignment="0" applyProtection="0"/>
    <xf numFmtId="0" fontId="3" fillId="59" borderId="68" applyNumberFormat="0" applyFont="0" applyAlignment="0" applyProtection="0"/>
    <xf numFmtId="0" fontId="3" fillId="59" borderId="68" applyNumberFormat="0" applyFont="0" applyAlignment="0" applyProtection="0"/>
    <xf numFmtId="0" fontId="152" fillId="54" borderId="69" applyNumberFormat="0" applyAlignment="0" applyProtection="0"/>
    <xf numFmtId="170" fontId="152" fillId="54" borderId="69" applyNumberFormat="0" applyAlignment="0" applyProtection="0"/>
    <xf numFmtId="0" fontId="96" fillId="20" borderId="8" applyNumberFormat="0" applyAlignment="0" applyProtection="0"/>
    <xf numFmtId="0" fontId="96" fillId="20" borderId="8" applyNumberFormat="0" applyAlignment="0" applyProtection="0"/>
    <xf numFmtId="170" fontId="96" fillId="20" borderId="8" applyNumberFormat="0" applyAlignment="0" applyProtection="0"/>
    <xf numFmtId="9" fontId="14" fillId="0" borderId="0" applyFont="0" applyFill="0" applyBorder="0" applyAlignment="0" applyProtection="0"/>
    <xf numFmtId="9" fontId="128" fillId="0" borderId="0" applyFont="0" applyFill="0" applyBorder="0" applyAlignment="0" applyProtection="0"/>
    <xf numFmtId="9" fontId="7" fillId="0" borderId="0" applyFont="0" applyFill="0" applyBorder="0" applyAlignment="0" applyProtection="0"/>
    <xf numFmtId="9" fontId="6" fillId="0" borderId="0" applyFont="0" applyFill="0" applyBorder="0" applyAlignment="0" applyProtection="0"/>
    <xf numFmtId="9" fontId="4" fillId="0" borderId="0" applyFont="0" applyFill="0" applyBorder="0" applyAlignment="0" applyProtection="0"/>
    <xf numFmtId="9" fontId="122" fillId="0" borderId="0" applyFont="0" applyFill="0" applyBorder="0" applyAlignment="0" applyProtection="0"/>
    <xf numFmtId="9" fontId="122"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122" fillId="0" borderId="0" applyFont="0" applyFill="0" applyBorder="0" applyAlignment="0" applyProtection="0"/>
    <xf numFmtId="9" fontId="122" fillId="0" borderId="0" applyFont="0" applyFill="0" applyBorder="0" applyAlignment="0" applyProtection="0"/>
    <xf numFmtId="9" fontId="4" fillId="0" borderId="0" applyFont="0" applyFill="0" applyBorder="0" applyAlignment="0" applyProtection="0"/>
    <xf numFmtId="9" fontId="122" fillId="0" borderId="0" applyFont="0" applyFill="0" applyBorder="0" applyAlignment="0" applyProtection="0"/>
    <xf numFmtId="9" fontId="122" fillId="0" borderId="0" applyFont="0" applyFill="0" applyBorder="0" applyAlignment="0" applyProtection="0"/>
    <xf numFmtId="9" fontId="4" fillId="0" borderId="0" applyFont="0" applyFill="0" applyBorder="0" applyAlignment="0" applyProtection="0"/>
    <xf numFmtId="0" fontId="153" fillId="0" borderId="0" applyNumberFormat="0" applyFill="0" applyBorder="0" applyAlignment="0" applyProtection="0"/>
    <xf numFmtId="0" fontId="97" fillId="0" borderId="0" applyNumberFormat="0" applyFill="0" applyBorder="0" applyAlignment="0" applyProtection="0"/>
    <xf numFmtId="170" fontId="97" fillId="0" borderId="0" applyNumberFormat="0" applyFill="0" applyBorder="0" applyAlignment="0" applyProtection="0"/>
    <xf numFmtId="170" fontId="153" fillId="0" borderId="0" applyNumberFormat="0" applyFill="0" applyBorder="0" applyAlignment="0" applyProtection="0"/>
    <xf numFmtId="0" fontId="154" fillId="0" borderId="70" applyNumberFormat="0" applyFill="0" applyAlignment="0" applyProtection="0"/>
    <xf numFmtId="170" fontId="154" fillId="0" borderId="70" applyNumberFormat="0" applyFill="0" applyAlignment="0" applyProtection="0"/>
    <xf numFmtId="0" fontId="98" fillId="0" borderId="9" applyNumberFormat="0" applyFill="0" applyAlignment="0" applyProtection="0"/>
    <xf numFmtId="0" fontId="98" fillId="0" borderId="9" applyNumberFormat="0" applyFill="0" applyAlignment="0" applyProtection="0"/>
    <xf numFmtId="170" fontId="98" fillId="0" borderId="9" applyNumberFormat="0" applyFill="0" applyAlignment="0" applyProtection="0"/>
    <xf numFmtId="0" fontId="155" fillId="0" borderId="0" applyNumberFormat="0" applyFill="0" applyBorder="0" applyAlignment="0" applyProtection="0"/>
    <xf numFmtId="170" fontId="155"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170" fontId="99" fillId="0" borderId="0" applyNumberFormat="0" applyFill="0" applyBorder="0" applyAlignment="0" applyProtection="0"/>
    <xf numFmtId="0" fontId="156" fillId="0" borderId="0"/>
    <xf numFmtId="0" fontId="130" fillId="0" borderId="0"/>
    <xf numFmtId="0" fontId="14" fillId="0" borderId="0"/>
    <xf numFmtId="0" fontId="14" fillId="0" borderId="0"/>
    <xf numFmtId="0" fontId="134" fillId="0" borderId="0"/>
    <xf numFmtId="0" fontId="134" fillId="0" borderId="0"/>
    <xf numFmtId="0" fontId="12" fillId="0" borderId="0"/>
    <xf numFmtId="0" fontId="68" fillId="0" borderId="0"/>
    <xf numFmtId="0" fontId="68" fillId="0" borderId="0"/>
    <xf numFmtId="0" fontId="12" fillId="0" borderId="0"/>
    <xf numFmtId="0" fontId="12" fillId="0" borderId="0"/>
    <xf numFmtId="0" fontId="12" fillId="0" borderId="0"/>
    <xf numFmtId="0" fontId="12" fillId="0" borderId="0"/>
    <xf numFmtId="0" fontId="12" fillId="0" borderId="0"/>
    <xf numFmtId="0" fontId="68" fillId="0" borderId="0"/>
    <xf numFmtId="0" fontId="12" fillId="0" borderId="0"/>
    <xf numFmtId="0" fontId="134" fillId="0" borderId="0"/>
    <xf numFmtId="0" fontId="134" fillId="94" borderId="0" applyNumberFormat="0" applyBorder="0" applyAlignment="0" applyProtection="0"/>
    <xf numFmtId="0" fontId="133" fillId="91" borderId="0" applyNumberFormat="0" applyBorder="0" applyAlignment="0" applyProtection="0"/>
    <xf numFmtId="0" fontId="133" fillId="92" borderId="0" applyNumberFormat="0" applyBorder="0" applyAlignment="0" applyProtection="0"/>
    <xf numFmtId="0" fontId="133" fillId="93" borderId="0" applyNumberFormat="0" applyBorder="0" applyAlignment="0" applyProtection="0"/>
    <xf numFmtId="0" fontId="133" fillId="96" borderId="0" applyNumberFormat="0" applyBorder="0" applyAlignment="0" applyProtection="0"/>
    <xf numFmtId="0" fontId="133" fillId="94" borderId="0" applyNumberFormat="0" applyBorder="0" applyAlignment="0" applyProtection="0"/>
    <xf numFmtId="0" fontId="135" fillId="95" borderId="0" applyNumberFormat="0" applyBorder="0" applyAlignment="0" applyProtection="0"/>
    <xf numFmtId="0" fontId="135" fillId="97" borderId="0" applyNumberFormat="0" applyBorder="0" applyAlignment="0" applyProtection="0"/>
    <xf numFmtId="0" fontId="135" fillId="98" borderId="0" applyNumberFormat="0" applyBorder="0" applyAlignment="0" applyProtection="0"/>
    <xf numFmtId="0" fontId="149" fillId="58" borderId="0" applyNumberFormat="0" applyBorder="0" applyAlignment="0" applyProtection="0"/>
    <xf numFmtId="0" fontId="133" fillId="59" borderId="68" applyNumberFormat="0" applyFont="0" applyAlignment="0" applyProtection="0"/>
    <xf numFmtId="0" fontId="133" fillId="59" borderId="68" applyNumberFormat="0" applyFont="0" applyAlignment="0" applyProtection="0"/>
    <xf numFmtId="0" fontId="82" fillId="0" borderId="0"/>
    <xf numFmtId="0" fontId="14" fillId="0" borderId="0"/>
    <xf numFmtId="0" fontId="133" fillId="0" borderId="0"/>
    <xf numFmtId="0" fontId="133" fillId="59" borderId="68" applyNumberFormat="0" applyFont="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88" fillId="21" borderId="93" applyNumberFormat="0" applyAlignment="0" applyProtection="0"/>
    <xf numFmtId="0" fontId="94" fillId="0" borderId="94" applyNumberFormat="0" applyFill="0" applyAlignment="0" applyProtection="0"/>
    <xf numFmtId="0" fontId="133" fillId="0" borderId="0"/>
    <xf numFmtId="9" fontId="150" fillId="0" borderId="0" applyFont="0" applyFill="0" applyBorder="0" applyAlignment="0" applyProtection="0"/>
    <xf numFmtId="9" fontId="150" fillId="0" borderId="0" applyFont="0" applyFill="0" applyBorder="0" applyAlignment="0" applyProtection="0"/>
    <xf numFmtId="9" fontId="150" fillId="0" borderId="0" applyFont="0" applyFill="0" applyBorder="0" applyAlignment="0" applyProtection="0"/>
    <xf numFmtId="0" fontId="145" fillId="0" borderId="0" applyNumberFormat="0" applyFill="0" applyBorder="0" applyAlignment="0" applyProtection="0"/>
    <xf numFmtId="170" fontId="134" fillId="94" borderId="0" applyNumberFormat="0" applyBorder="0" applyAlignment="0" applyProtection="0"/>
    <xf numFmtId="170" fontId="133" fillId="91" borderId="0" applyNumberFormat="0" applyBorder="0" applyAlignment="0" applyProtection="0"/>
    <xf numFmtId="170" fontId="133" fillId="92" borderId="0" applyNumberFormat="0" applyBorder="0" applyAlignment="0" applyProtection="0"/>
    <xf numFmtId="170" fontId="133" fillId="93" borderId="0" applyNumberFormat="0" applyBorder="0" applyAlignment="0" applyProtection="0"/>
    <xf numFmtId="170" fontId="133" fillId="96" borderId="0" applyNumberFormat="0" applyBorder="0" applyAlignment="0" applyProtection="0"/>
    <xf numFmtId="170" fontId="133" fillId="94" borderId="0" applyNumberFormat="0" applyBorder="0" applyAlignment="0" applyProtection="0"/>
    <xf numFmtId="170" fontId="135" fillId="95" borderId="0" applyNumberFormat="0" applyBorder="0" applyAlignment="0" applyProtection="0"/>
    <xf numFmtId="170" fontId="135" fillId="97" borderId="0" applyNumberFormat="0" applyBorder="0" applyAlignment="0" applyProtection="0"/>
    <xf numFmtId="170" fontId="135" fillId="98" borderId="0" applyNumberFormat="0" applyBorder="0" applyAlignment="0" applyProtection="0"/>
    <xf numFmtId="170" fontId="133" fillId="59" borderId="68" applyNumberFormat="0" applyFont="0" applyAlignment="0" applyProtection="0"/>
    <xf numFmtId="170" fontId="133" fillId="59" borderId="68" applyNumberFormat="0" applyFont="0" applyAlignment="0" applyProtection="0"/>
    <xf numFmtId="170" fontId="133" fillId="59" borderId="68" applyNumberFormat="0" applyFont="0" applyAlignment="0" applyProtection="0"/>
    <xf numFmtId="170" fontId="2" fillId="2" borderId="0" applyNumberFormat="0" applyBorder="0" applyAlignment="0" applyProtection="0"/>
    <xf numFmtId="170" fontId="2" fillId="3" borderId="0" applyNumberFormat="0" applyBorder="0" applyAlignment="0" applyProtection="0"/>
    <xf numFmtId="170" fontId="2" fillId="4" borderId="0" applyNumberFormat="0" applyBorder="0" applyAlignment="0" applyProtection="0"/>
    <xf numFmtId="170" fontId="2" fillId="5" borderId="0" applyNumberFormat="0" applyBorder="0" applyAlignment="0" applyProtection="0"/>
    <xf numFmtId="170" fontId="2" fillId="6" borderId="0" applyNumberFormat="0" applyBorder="0" applyAlignment="0" applyProtection="0"/>
    <xf numFmtId="170" fontId="2" fillId="7" borderId="0" applyNumberFormat="0" applyBorder="0" applyAlignment="0" applyProtection="0"/>
    <xf numFmtId="170" fontId="2" fillId="8" borderId="0" applyNumberFormat="0" applyBorder="0" applyAlignment="0" applyProtection="0"/>
    <xf numFmtId="170" fontId="2" fillId="9" borderId="0" applyNumberFormat="0" applyBorder="0" applyAlignment="0" applyProtection="0"/>
    <xf numFmtId="170" fontId="2" fillId="10" borderId="0" applyNumberFormat="0" applyBorder="0" applyAlignment="0" applyProtection="0"/>
    <xf numFmtId="170" fontId="2" fillId="5" borderId="0" applyNumberFormat="0" applyBorder="0" applyAlignment="0" applyProtection="0"/>
    <xf numFmtId="170" fontId="2" fillId="8" borderId="0" applyNumberFormat="0" applyBorder="0" applyAlignment="0" applyProtection="0"/>
    <xf numFmtId="170" fontId="2" fillId="11" borderId="0" applyNumberFormat="0" applyBorder="0" applyAlignment="0" applyProtection="0"/>
    <xf numFmtId="170" fontId="88" fillId="21" borderId="93" applyNumberFormat="0" applyAlignment="0" applyProtection="0"/>
    <xf numFmtId="170" fontId="94" fillId="0" borderId="94" applyNumberFormat="0" applyFill="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88" fillId="21" borderId="93" applyNumberFormat="0" applyAlignment="0" applyProtection="0"/>
    <xf numFmtId="0" fontId="94" fillId="0" borderId="94" applyNumberFormat="0" applyFill="0" applyAlignment="0" applyProtection="0"/>
    <xf numFmtId="0" fontId="2" fillId="0" borderId="0"/>
    <xf numFmtId="0" fontId="2" fillId="23" borderId="7" applyNumberFormat="0" applyFont="0" applyAlignment="0" applyProtection="0"/>
    <xf numFmtId="0" fontId="133" fillId="91" borderId="0" applyNumberFormat="0" applyBorder="0" applyAlignment="0" applyProtection="0"/>
    <xf numFmtId="0" fontId="133" fillId="92" borderId="0" applyNumberFormat="0" applyBorder="0" applyAlignment="0" applyProtection="0"/>
    <xf numFmtId="0" fontId="133" fillId="93" borderId="0" applyNumberFormat="0" applyBorder="0" applyAlignment="0" applyProtection="0"/>
    <xf numFmtId="0" fontId="133" fillId="96" borderId="0" applyNumberFormat="0" applyBorder="0" applyAlignment="0" applyProtection="0"/>
    <xf numFmtId="0" fontId="133" fillId="94" borderId="0" applyNumberFormat="0" applyBorder="0" applyAlignment="0" applyProtection="0"/>
    <xf numFmtId="0" fontId="133" fillId="59" borderId="68" applyNumberFormat="0" applyFont="0" applyAlignment="0" applyProtection="0"/>
    <xf numFmtId="0" fontId="133" fillId="59" borderId="68" applyNumberFormat="0" applyFont="0" applyAlignment="0" applyProtection="0"/>
    <xf numFmtId="0" fontId="133" fillId="59" borderId="68" applyNumberFormat="0" applyFont="0" applyAlignment="0" applyProtection="0"/>
    <xf numFmtId="9" fontId="150" fillId="0" borderId="0" applyFont="0" applyFill="0" applyBorder="0" applyAlignment="0" applyProtection="0"/>
    <xf numFmtId="9" fontId="150" fillId="0" borderId="0" applyFont="0" applyFill="0" applyBorder="0" applyAlignment="0" applyProtection="0"/>
    <xf numFmtId="9" fontId="150" fillId="0" borderId="0" applyFont="0" applyFill="0" applyBorder="0" applyAlignment="0" applyProtection="0"/>
    <xf numFmtId="0" fontId="81" fillId="0" borderId="0"/>
    <xf numFmtId="0" fontId="81" fillId="39" borderId="0" applyNumberFormat="0" applyBorder="0" applyAlignment="0" applyProtection="0"/>
    <xf numFmtId="0" fontId="81" fillId="94" borderId="0" applyNumberFormat="0" applyBorder="0" applyAlignment="0" applyProtection="0"/>
    <xf numFmtId="0" fontId="81" fillId="40" borderId="0" applyNumberFormat="0" applyBorder="0" applyAlignment="0" applyProtection="0"/>
    <xf numFmtId="0" fontId="4" fillId="0" borderId="0"/>
    <xf numFmtId="0" fontId="8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70" fontId="81" fillId="0" borderId="0"/>
    <xf numFmtId="0" fontId="81" fillId="0" borderId="0"/>
    <xf numFmtId="170" fontId="81" fillId="0" borderId="0"/>
    <xf numFmtId="0" fontId="4" fillId="0" borderId="0"/>
    <xf numFmtId="0" fontId="133" fillId="91" borderId="0" applyNumberFormat="0" applyBorder="0" applyAlignment="0" applyProtection="0"/>
    <xf numFmtId="0" fontId="133" fillId="92" borderId="0" applyNumberFormat="0" applyBorder="0" applyAlignment="0" applyProtection="0"/>
    <xf numFmtId="0" fontId="133" fillId="93" borderId="0" applyNumberFormat="0" applyBorder="0" applyAlignment="0" applyProtection="0"/>
    <xf numFmtId="0" fontId="133" fillId="96" borderId="0" applyNumberFormat="0" applyBorder="0" applyAlignment="0" applyProtection="0"/>
    <xf numFmtId="0" fontId="81" fillId="39" borderId="0" applyNumberFormat="0" applyBorder="0" applyAlignment="0" applyProtection="0"/>
    <xf numFmtId="0" fontId="81" fillId="40" borderId="0" applyNumberFormat="0" applyBorder="0" applyAlignment="0" applyProtection="0"/>
    <xf numFmtId="0" fontId="81" fillId="94" borderId="0" applyNumberFormat="0" applyBorder="0" applyAlignment="0" applyProtection="0"/>
    <xf numFmtId="0" fontId="133" fillId="94" borderId="0" applyNumberFormat="0" applyBorder="0" applyAlignment="0" applyProtection="0"/>
    <xf numFmtId="0" fontId="8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33" fillId="59" borderId="68" applyNumberFormat="0" applyFont="0" applyAlignment="0" applyProtection="0"/>
    <xf numFmtId="0" fontId="133" fillId="59" borderId="68" applyNumberFormat="0" applyFont="0" applyAlignment="0" applyProtection="0"/>
    <xf numFmtId="0" fontId="133" fillId="59" borderId="68" applyNumberFormat="0" applyFont="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88" fillId="21" borderId="93" applyNumberFormat="0" applyAlignment="0" applyProtection="0"/>
    <xf numFmtId="0" fontId="88" fillId="21" borderId="93" applyNumberFormat="0" applyAlignment="0" applyProtection="0"/>
    <xf numFmtId="0" fontId="88" fillId="21" borderId="93" applyNumberFormat="0" applyAlignment="0" applyProtection="0"/>
    <xf numFmtId="0" fontId="88" fillId="21" borderId="93" applyNumberFormat="0" applyAlignment="0" applyProtection="0"/>
    <xf numFmtId="0" fontId="88" fillId="21" borderId="93" applyNumberFormat="0" applyAlignment="0" applyProtection="0"/>
    <xf numFmtId="0" fontId="94" fillId="0" borderId="94" applyNumberFormat="0" applyFill="0" applyAlignment="0" applyProtection="0"/>
    <xf numFmtId="0" fontId="82" fillId="0" borderId="0"/>
    <xf numFmtId="0" fontId="82" fillId="0" borderId="0"/>
    <xf numFmtId="0" fontId="82" fillId="0" borderId="0"/>
    <xf numFmtId="0" fontId="82" fillId="0" borderId="0"/>
    <xf numFmtId="0" fontId="82" fillId="0" borderId="0"/>
    <xf numFmtId="0" fontId="88" fillId="21" borderId="93" applyNumberFormat="0" applyAlignment="0" applyProtection="0"/>
    <xf numFmtId="0" fontId="82" fillId="0" borderId="0"/>
    <xf numFmtId="0" fontId="82" fillId="0" borderId="0"/>
    <xf numFmtId="0" fontId="82" fillId="0" borderId="0"/>
    <xf numFmtId="0" fontId="82" fillId="0" borderId="0"/>
    <xf numFmtId="0" fontId="82" fillId="0" borderId="0"/>
    <xf numFmtId="170" fontId="88" fillId="21" borderId="93" applyNumberFormat="0" applyAlignment="0" applyProtection="0"/>
    <xf numFmtId="170" fontId="94" fillId="0" borderId="94" applyNumberFormat="0" applyFill="0" applyAlignment="0" applyProtection="0"/>
    <xf numFmtId="0" fontId="88" fillId="21" borderId="93" applyNumberFormat="0" applyAlignment="0" applyProtection="0"/>
    <xf numFmtId="0" fontId="94" fillId="0" borderId="94" applyNumberFormat="0" applyFill="0" applyAlignment="0" applyProtection="0"/>
    <xf numFmtId="0" fontId="88" fillId="21" borderId="93" applyNumberFormat="0" applyAlignment="0" applyProtection="0"/>
    <xf numFmtId="170" fontId="88" fillId="21" borderId="93" applyNumberFormat="0" applyAlignment="0" applyProtection="0"/>
    <xf numFmtId="0" fontId="88" fillId="21" borderId="93" applyNumberFormat="0" applyAlignment="0" applyProtection="0"/>
    <xf numFmtId="170" fontId="88" fillId="21" borderId="93" applyNumberFormat="0" applyAlignment="0" applyProtection="0"/>
    <xf numFmtId="0" fontId="88" fillId="21" borderId="93" applyNumberFormat="0" applyAlignment="0" applyProtection="0"/>
    <xf numFmtId="0" fontId="88" fillId="21" borderId="93" applyNumberFormat="0" applyAlignment="0" applyProtection="0"/>
    <xf numFmtId="170" fontId="88" fillId="21" borderId="93" applyNumberFormat="0" applyAlignment="0" applyProtection="0"/>
    <xf numFmtId="0" fontId="88" fillId="21" borderId="93" applyNumberFormat="0" applyAlignment="0" applyProtection="0"/>
    <xf numFmtId="170" fontId="88" fillId="21" borderId="93" applyNumberFormat="0" applyAlignment="0" applyProtection="0"/>
    <xf numFmtId="0" fontId="88" fillId="21" borderId="93" applyNumberFormat="0" applyAlignment="0" applyProtection="0"/>
    <xf numFmtId="0" fontId="88" fillId="21" borderId="93" applyNumberFormat="0" applyAlignment="0" applyProtection="0"/>
    <xf numFmtId="0" fontId="88" fillId="21" borderId="93" applyNumberFormat="0" applyAlignment="0" applyProtection="0"/>
    <xf numFmtId="0" fontId="88" fillId="21" borderId="93" applyNumberFormat="0" applyAlignment="0" applyProtection="0"/>
    <xf numFmtId="170" fontId="88" fillId="21" borderId="93" applyNumberFormat="0" applyAlignment="0" applyProtection="0"/>
    <xf numFmtId="0" fontId="88" fillId="21" borderId="93" applyNumberFormat="0" applyAlignment="0" applyProtection="0"/>
    <xf numFmtId="0" fontId="88" fillId="21" borderId="93" applyNumberFormat="0" applyAlignment="0" applyProtection="0"/>
    <xf numFmtId="9" fontId="150" fillId="0" borderId="0" applyFont="0" applyFill="0" applyBorder="0" applyAlignment="0" applyProtection="0"/>
    <xf numFmtId="0" fontId="88" fillId="21" borderId="93" applyNumberFormat="0" applyAlignment="0" applyProtection="0"/>
    <xf numFmtId="170" fontId="88" fillId="21" borderId="93" applyNumberFormat="0" applyAlignment="0" applyProtection="0"/>
    <xf numFmtId="0" fontId="88" fillId="21" borderId="93" applyNumberFormat="0" applyAlignment="0" applyProtection="0"/>
    <xf numFmtId="9" fontId="14" fillId="0" borderId="0" applyFont="0" applyFill="0" applyBorder="0" applyAlignment="0" applyProtection="0"/>
    <xf numFmtId="0" fontId="14" fillId="0" borderId="0"/>
    <xf numFmtId="170" fontId="88" fillId="21" borderId="93" applyNumberFormat="0" applyAlignment="0" applyProtection="0"/>
    <xf numFmtId="170" fontId="94" fillId="0" borderId="94" applyNumberFormat="0" applyFill="0" applyAlignment="0" applyProtection="0"/>
    <xf numFmtId="0" fontId="94" fillId="0" borderId="94" applyNumberFormat="0" applyFill="0" applyAlignment="0" applyProtection="0"/>
    <xf numFmtId="170" fontId="94" fillId="0" borderId="94" applyNumberFormat="0" applyFill="0" applyAlignment="0" applyProtection="0"/>
    <xf numFmtId="0" fontId="94" fillId="0" borderId="94" applyNumberFormat="0" applyFill="0" applyAlignment="0" applyProtection="0"/>
    <xf numFmtId="0" fontId="94" fillId="0" borderId="94" applyNumberFormat="0" applyFill="0" applyAlignment="0" applyProtection="0"/>
    <xf numFmtId="0" fontId="92" fillId="0" borderId="5" applyNumberFormat="0" applyFill="0" applyAlignment="0" applyProtection="0"/>
    <xf numFmtId="0" fontId="94" fillId="0" borderId="94" applyNumberFormat="0" applyFill="0" applyAlignment="0" applyProtection="0"/>
    <xf numFmtId="0" fontId="94" fillId="0" borderId="94" applyNumberFormat="0" applyFill="0" applyAlignment="0" applyProtection="0"/>
    <xf numFmtId="170" fontId="94" fillId="0" borderId="94" applyNumberFormat="0" applyFill="0" applyAlignment="0" applyProtection="0"/>
    <xf numFmtId="170" fontId="92" fillId="0" borderId="5" applyNumberFormat="0" applyFill="0" applyAlignment="0" applyProtection="0"/>
    <xf numFmtId="170" fontId="94" fillId="0" borderId="94" applyNumberFormat="0" applyFill="0" applyAlignment="0" applyProtection="0"/>
    <xf numFmtId="0" fontId="88" fillId="21" borderId="93" applyNumberFormat="0" applyAlignment="0" applyProtection="0"/>
    <xf numFmtId="0" fontId="92" fillId="0" borderId="5" applyNumberFormat="0" applyFill="0" applyAlignment="0" applyProtection="0"/>
    <xf numFmtId="0" fontId="94" fillId="0" borderId="94" applyNumberFormat="0" applyFill="0" applyAlignment="0" applyProtection="0"/>
    <xf numFmtId="0" fontId="94" fillId="0" borderId="94" applyNumberFormat="0" applyFill="0" applyAlignment="0" applyProtection="0"/>
    <xf numFmtId="0" fontId="94" fillId="0" borderId="94" applyNumberFormat="0" applyFill="0" applyAlignment="0" applyProtection="0"/>
    <xf numFmtId="0" fontId="88" fillId="21" borderId="93" applyNumberFormat="0" applyAlignment="0" applyProtection="0"/>
    <xf numFmtId="0" fontId="88" fillId="21" borderId="93" applyNumberFormat="0" applyAlignment="0" applyProtection="0"/>
    <xf numFmtId="0" fontId="88" fillId="21" borderId="93" applyNumberFormat="0" applyAlignment="0" applyProtection="0"/>
    <xf numFmtId="0" fontId="88" fillId="21" borderId="93" applyNumberFormat="0" applyAlignment="0" applyProtection="0"/>
    <xf numFmtId="0" fontId="88" fillId="21" borderId="93" applyNumberFormat="0" applyAlignment="0" applyProtection="0"/>
    <xf numFmtId="0" fontId="82" fillId="0" borderId="0"/>
    <xf numFmtId="0" fontId="82" fillId="0" borderId="0"/>
    <xf numFmtId="0" fontId="82" fillId="0" borderId="0"/>
    <xf numFmtId="0" fontId="82" fillId="0" borderId="0"/>
    <xf numFmtId="0" fontId="82" fillId="0" borderId="0"/>
    <xf numFmtId="0" fontId="88" fillId="21" borderId="93" applyNumberFormat="0" applyAlignment="0" applyProtection="0"/>
    <xf numFmtId="0" fontId="82" fillId="0" borderId="0"/>
    <xf numFmtId="0" fontId="82" fillId="0" borderId="0"/>
    <xf numFmtId="0" fontId="82" fillId="0" borderId="0"/>
    <xf numFmtId="0" fontId="82" fillId="0" borderId="0"/>
    <xf numFmtId="0" fontId="82" fillId="0" borderId="0"/>
    <xf numFmtId="170" fontId="88" fillId="21" borderId="93" applyNumberFormat="0" applyAlignment="0" applyProtection="0"/>
    <xf numFmtId="0" fontId="88" fillId="21" borderId="93" applyNumberFormat="0" applyAlignment="0" applyProtection="0"/>
    <xf numFmtId="0" fontId="88" fillId="21" borderId="93" applyNumberFormat="0" applyAlignment="0" applyProtection="0"/>
    <xf numFmtId="170" fontId="88" fillId="21" borderId="93" applyNumberFormat="0" applyAlignment="0" applyProtection="0"/>
    <xf numFmtId="0" fontId="88" fillId="21" borderId="93" applyNumberFormat="0" applyAlignment="0" applyProtection="0"/>
    <xf numFmtId="170" fontId="88" fillId="21" borderId="93" applyNumberFormat="0" applyAlignment="0" applyProtection="0"/>
    <xf numFmtId="0" fontId="88" fillId="21" borderId="93" applyNumberFormat="0" applyAlignment="0" applyProtection="0"/>
    <xf numFmtId="0" fontId="88" fillId="21" borderId="93" applyNumberFormat="0" applyAlignment="0" applyProtection="0"/>
    <xf numFmtId="170" fontId="88" fillId="21" borderId="93" applyNumberFormat="0" applyAlignment="0" applyProtection="0"/>
    <xf numFmtId="0" fontId="88" fillId="21" borderId="93" applyNumberFormat="0" applyAlignment="0" applyProtection="0"/>
    <xf numFmtId="170" fontId="88" fillId="21" borderId="93" applyNumberFormat="0" applyAlignment="0" applyProtection="0"/>
    <xf numFmtId="0" fontId="88" fillId="21" borderId="93" applyNumberFormat="0" applyAlignment="0" applyProtection="0"/>
    <xf numFmtId="0" fontId="88" fillId="21" borderId="93" applyNumberFormat="0" applyAlignment="0" applyProtection="0"/>
    <xf numFmtId="0" fontId="88" fillId="21" borderId="93" applyNumberFormat="0" applyAlignment="0" applyProtection="0"/>
    <xf numFmtId="0" fontId="88" fillId="21" borderId="93" applyNumberFormat="0" applyAlignment="0" applyProtection="0"/>
    <xf numFmtId="170" fontId="88" fillId="21" borderId="93" applyNumberFormat="0" applyAlignment="0" applyProtection="0"/>
    <xf numFmtId="0" fontId="88" fillId="21" borderId="93" applyNumberFormat="0" applyAlignment="0" applyProtection="0"/>
    <xf numFmtId="0" fontId="88" fillId="21" borderId="93" applyNumberFormat="0" applyAlignment="0" applyProtection="0"/>
    <xf numFmtId="0" fontId="88" fillId="21" borderId="93" applyNumberFormat="0" applyAlignment="0" applyProtection="0"/>
    <xf numFmtId="9" fontId="14" fillId="0" borderId="0" applyFont="0" applyFill="0" applyBorder="0" applyAlignment="0" applyProtection="0"/>
    <xf numFmtId="0" fontId="14" fillId="0" borderId="0"/>
    <xf numFmtId="170" fontId="88" fillId="21" borderId="93" applyNumberFormat="0" applyAlignment="0" applyProtection="0"/>
    <xf numFmtId="0" fontId="133" fillId="2" borderId="0" applyNumberFormat="0" applyBorder="0" applyAlignment="0" applyProtection="0"/>
    <xf numFmtId="170" fontId="133" fillId="2" borderId="0" applyNumberFormat="0" applyBorder="0" applyAlignment="0" applyProtection="0"/>
    <xf numFmtId="0" fontId="133" fillId="2" borderId="0" applyNumberFormat="0" applyBorder="0" applyAlignment="0" applyProtection="0"/>
    <xf numFmtId="0" fontId="133" fillId="2" borderId="0" applyNumberFormat="0" applyBorder="0" applyAlignment="0" applyProtection="0"/>
    <xf numFmtId="0" fontId="133" fillId="3" borderId="0" applyNumberFormat="0" applyBorder="0" applyAlignment="0" applyProtection="0"/>
    <xf numFmtId="170" fontId="133" fillId="3" borderId="0" applyNumberFormat="0" applyBorder="0" applyAlignment="0" applyProtection="0"/>
    <xf numFmtId="0" fontId="133" fillId="3" borderId="0" applyNumberFormat="0" applyBorder="0" applyAlignment="0" applyProtection="0"/>
    <xf numFmtId="0" fontId="133" fillId="3" borderId="0" applyNumberFormat="0" applyBorder="0" applyAlignment="0" applyProtection="0"/>
    <xf numFmtId="0" fontId="133" fillId="4" borderId="0" applyNumberFormat="0" applyBorder="0" applyAlignment="0" applyProtection="0"/>
    <xf numFmtId="170" fontId="133" fillId="4" borderId="0" applyNumberFormat="0" applyBorder="0" applyAlignment="0" applyProtection="0"/>
    <xf numFmtId="0" fontId="133" fillId="4" borderId="0" applyNumberFormat="0" applyBorder="0" applyAlignment="0" applyProtection="0"/>
    <xf numFmtId="0" fontId="133" fillId="4" borderId="0" applyNumberFormat="0" applyBorder="0" applyAlignment="0" applyProtection="0"/>
    <xf numFmtId="0" fontId="133" fillId="5" borderId="0" applyNumberFormat="0" applyBorder="0" applyAlignment="0" applyProtection="0"/>
    <xf numFmtId="170" fontId="133" fillId="5" borderId="0" applyNumberFormat="0" applyBorder="0" applyAlignment="0" applyProtection="0"/>
    <xf numFmtId="0" fontId="133" fillId="5" borderId="0" applyNumberFormat="0" applyBorder="0" applyAlignment="0" applyProtection="0"/>
    <xf numFmtId="0" fontId="133" fillId="5" borderId="0" applyNumberFormat="0" applyBorder="0" applyAlignment="0" applyProtection="0"/>
    <xf numFmtId="0" fontId="134" fillId="10" borderId="0" applyNumberFormat="0" applyBorder="0" applyAlignment="0" applyProtection="0"/>
    <xf numFmtId="170" fontId="134" fillId="10" borderId="0" applyNumberFormat="0" applyBorder="0" applyAlignment="0" applyProtection="0"/>
    <xf numFmtId="0" fontId="81" fillId="10" borderId="0" applyNumberFormat="0" applyBorder="0" applyAlignment="0" applyProtection="0"/>
    <xf numFmtId="0" fontId="81" fillId="10" borderId="0" applyNumberFormat="0" applyBorder="0" applyAlignment="0" applyProtection="0"/>
    <xf numFmtId="0" fontId="133" fillId="10" borderId="0" applyNumberFormat="0" applyBorder="0" applyAlignment="0" applyProtection="0"/>
    <xf numFmtId="170" fontId="133" fillId="10" borderId="0" applyNumberFormat="0" applyBorder="0" applyAlignment="0" applyProtection="0"/>
    <xf numFmtId="0" fontId="133" fillId="10" borderId="0" applyNumberFormat="0" applyBorder="0" applyAlignment="0" applyProtection="0"/>
    <xf numFmtId="0" fontId="133" fillId="10" borderId="0" applyNumberFormat="0" applyBorder="0" applyAlignment="0" applyProtection="0"/>
    <xf numFmtId="0" fontId="135" fillId="10" borderId="0" applyNumberFormat="0" applyBorder="0" applyAlignment="0" applyProtection="0"/>
    <xf numFmtId="170" fontId="135" fillId="10" borderId="0" applyNumberFormat="0" applyBorder="0" applyAlignment="0" applyProtection="0"/>
    <xf numFmtId="0" fontId="135" fillId="13" borderId="0" applyNumberFormat="0" applyBorder="0" applyAlignment="0" applyProtection="0"/>
    <xf numFmtId="170" fontId="135" fillId="13" borderId="0" applyNumberFormat="0" applyBorder="0" applyAlignment="0" applyProtection="0"/>
    <xf numFmtId="0" fontId="135" fillId="15" borderId="0" applyNumberFormat="0" applyBorder="0" applyAlignment="0" applyProtection="0"/>
    <xf numFmtId="170" fontId="135" fillId="15" borderId="0" applyNumberFormat="0" applyBorder="0" applyAlignment="0" applyProtection="0"/>
    <xf numFmtId="0" fontId="88" fillId="21" borderId="93" applyNumberFormat="0" applyAlignment="0" applyProtection="0"/>
    <xf numFmtId="0" fontId="88" fillId="21" borderId="93" applyNumberFormat="0" applyAlignment="0" applyProtection="0"/>
    <xf numFmtId="0" fontId="88" fillId="21" borderId="93" applyNumberFormat="0" applyAlignment="0" applyProtection="0"/>
    <xf numFmtId="0" fontId="88" fillId="21" borderId="93" applyNumberFormat="0" applyAlignment="0" applyProtection="0"/>
    <xf numFmtId="0" fontId="88" fillId="21" borderId="93" applyNumberFormat="0" applyAlignment="0" applyProtection="0"/>
    <xf numFmtId="0" fontId="88" fillId="21" borderId="93" applyNumberFormat="0" applyAlignment="0" applyProtection="0"/>
    <xf numFmtId="0" fontId="88" fillId="21" borderId="93" applyNumberFormat="0" applyAlignment="0" applyProtection="0"/>
    <xf numFmtId="0" fontId="88" fillId="21" borderId="93" applyNumberFormat="0" applyAlignment="0" applyProtection="0"/>
    <xf numFmtId="170" fontId="88" fillId="21" borderId="93" applyNumberFormat="0" applyAlignment="0" applyProtection="0"/>
    <xf numFmtId="170" fontId="88" fillId="21" borderId="93" applyNumberFormat="0" applyAlignment="0" applyProtection="0"/>
    <xf numFmtId="170" fontId="88" fillId="21" borderId="93" applyNumberFormat="0" applyAlignment="0" applyProtection="0"/>
    <xf numFmtId="170" fontId="88" fillId="21" borderId="93" applyNumberFormat="0" applyAlignment="0" applyProtection="0"/>
    <xf numFmtId="170" fontId="88" fillId="21" borderId="93" applyNumberFormat="0" applyAlignment="0" applyProtection="0"/>
    <xf numFmtId="170" fontId="88" fillId="21" borderId="93" applyNumberFormat="0" applyAlignment="0" applyProtection="0"/>
    <xf numFmtId="170" fontId="88" fillId="21" borderId="93" applyNumberFormat="0" applyAlignment="0" applyProtection="0"/>
    <xf numFmtId="170" fontId="88" fillId="21" borderId="93" applyNumberFormat="0" applyAlignment="0" applyProtection="0"/>
    <xf numFmtId="170" fontId="88" fillId="21" borderId="93" applyNumberFormat="0" applyAlignment="0" applyProtection="0"/>
    <xf numFmtId="0" fontId="88" fillId="21" borderId="93" applyNumberFormat="0" applyAlignment="0" applyProtection="0"/>
    <xf numFmtId="0" fontId="88" fillId="21" borderId="93" applyNumberFormat="0" applyAlignment="0" applyProtection="0"/>
    <xf numFmtId="0" fontId="88" fillId="21" borderId="93" applyNumberFormat="0" applyAlignment="0" applyProtection="0"/>
    <xf numFmtId="0" fontId="88" fillId="21" borderId="93" applyNumberFormat="0" applyAlignment="0" applyProtection="0"/>
    <xf numFmtId="0" fontId="88" fillId="21" borderId="93" applyNumberFormat="0" applyAlignment="0" applyProtection="0"/>
    <xf numFmtId="0" fontId="88" fillId="21" borderId="93" applyNumberFormat="0" applyAlignment="0" applyProtection="0"/>
    <xf numFmtId="0" fontId="88" fillId="21" borderId="93" applyNumberFormat="0" applyAlignment="0" applyProtection="0"/>
    <xf numFmtId="0" fontId="88" fillId="21" borderId="93" applyNumberFormat="0" applyAlignment="0" applyProtection="0"/>
    <xf numFmtId="0" fontId="88" fillId="21" borderId="93" applyNumberFormat="0" applyAlignment="0" applyProtection="0"/>
    <xf numFmtId="0" fontId="88" fillId="21" borderId="93" applyNumberFormat="0" applyAlignment="0" applyProtection="0"/>
    <xf numFmtId="0" fontId="88" fillId="21" borderId="93" applyNumberFormat="0" applyAlignment="0" applyProtection="0"/>
    <xf numFmtId="0" fontId="88" fillId="21" borderId="93" applyNumberFormat="0" applyAlignment="0" applyProtection="0"/>
    <xf numFmtId="0" fontId="88" fillId="21" borderId="93" applyNumberFormat="0" applyAlignment="0" applyProtection="0"/>
    <xf numFmtId="0" fontId="88" fillId="21" borderId="93" applyNumberFormat="0" applyAlignment="0" applyProtection="0"/>
    <xf numFmtId="0" fontId="2" fillId="59" borderId="68" applyNumberFormat="0" applyFont="0" applyAlignment="0" applyProtection="0"/>
    <xf numFmtId="170" fontId="2" fillId="59" borderId="68" applyNumberFormat="0" applyFont="0" applyAlignment="0" applyProtection="0"/>
    <xf numFmtId="0" fontId="2" fillId="59" borderId="68" applyNumberFormat="0" applyFont="0" applyAlignment="0" applyProtection="0"/>
    <xf numFmtId="0" fontId="2" fillId="59" borderId="68" applyNumberFormat="0" applyFont="0" applyAlignment="0" applyProtection="0"/>
    <xf numFmtId="0" fontId="2" fillId="59" borderId="68" applyNumberFormat="0" applyFont="0" applyAlignment="0" applyProtection="0"/>
    <xf numFmtId="170" fontId="2" fillId="59" borderId="68" applyNumberFormat="0" applyFont="0" applyAlignment="0" applyProtection="0"/>
    <xf numFmtId="0" fontId="2" fillId="59" borderId="68" applyNumberFormat="0" applyFont="0" applyAlignment="0" applyProtection="0"/>
    <xf numFmtId="0" fontId="2" fillId="59" borderId="68" applyNumberFormat="0" applyFont="0" applyAlignment="0" applyProtection="0"/>
    <xf numFmtId="0" fontId="2" fillId="59" borderId="68" applyNumberFormat="0" applyFont="0" applyAlignment="0" applyProtection="0"/>
    <xf numFmtId="170" fontId="2" fillId="59" borderId="68" applyNumberFormat="0" applyFont="0" applyAlignment="0" applyProtection="0"/>
    <xf numFmtId="0" fontId="2" fillId="59" borderId="68" applyNumberFormat="0" applyFont="0" applyAlignment="0" applyProtection="0"/>
    <xf numFmtId="0" fontId="2" fillId="59" borderId="68" applyNumberFormat="0" applyFont="0" applyAlignment="0" applyProtection="0"/>
    <xf numFmtId="9" fontId="4" fillId="0" borderId="0" applyFont="0" applyFill="0" applyBorder="0" applyAlignment="0" applyProtection="0"/>
    <xf numFmtId="0" fontId="134" fillId="0" borderId="0"/>
    <xf numFmtId="0" fontId="133" fillId="0" borderId="0"/>
    <xf numFmtId="0" fontId="133" fillId="0" borderId="0"/>
    <xf numFmtId="0" fontId="133" fillId="0" borderId="0"/>
    <xf numFmtId="0" fontId="133" fillId="0" borderId="0"/>
    <xf numFmtId="0" fontId="133" fillId="0" borderId="0"/>
    <xf numFmtId="0" fontId="130" fillId="0" borderId="0"/>
    <xf numFmtId="0" fontId="133" fillId="0" borderId="0"/>
    <xf numFmtId="0" fontId="95" fillId="22" borderId="0" applyNumberFormat="0" applyBorder="0" applyAlignment="0" applyProtection="0"/>
    <xf numFmtId="0" fontId="133" fillId="91" borderId="0" applyNumberFormat="0" applyBorder="0" applyAlignment="0" applyProtection="0"/>
    <xf numFmtId="0" fontId="133" fillId="92" borderId="0" applyNumberFormat="0" applyBorder="0" applyAlignment="0" applyProtection="0"/>
    <xf numFmtId="0" fontId="133" fillId="93" borderId="0" applyNumberFormat="0" applyBorder="0" applyAlignment="0" applyProtection="0"/>
    <xf numFmtId="0" fontId="133" fillId="96" borderId="0" applyNumberFormat="0" applyBorder="0" applyAlignment="0" applyProtection="0"/>
    <xf numFmtId="0" fontId="133" fillId="37" borderId="0" applyNumberFormat="0" applyBorder="0" applyAlignment="0" applyProtection="0"/>
    <xf numFmtId="0" fontId="133" fillId="38" borderId="0" applyNumberFormat="0" applyBorder="0" applyAlignment="0" applyProtection="0"/>
    <xf numFmtId="0" fontId="133" fillId="39" borderId="0" applyNumberFormat="0" applyBorder="0" applyAlignment="0" applyProtection="0"/>
    <xf numFmtId="0" fontId="133" fillId="40" borderId="0" applyNumberFormat="0" applyBorder="0" applyAlignment="0" applyProtection="0"/>
    <xf numFmtId="0" fontId="133" fillId="94" borderId="0" applyNumberFormat="0" applyBorder="0" applyAlignment="0" applyProtection="0"/>
    <xf numFmtId="0" fontId="133" fillId="41" borderId="0" applyNumberFormat="0" applyBorder="0" applyAlignment="0" applyProtection="0"/>
    <xf numFmtId="0" fontId="133" fillId="42" borderId="0" applyNumberFormat="0" applyBorder="0" applyAlignment="0" applyProtection="0"/>
    <xf numFmtId="0" fontId="133" fillId="43" borderId="0" applyNumberFormat="0" applyBorder="0" applyAlignment="0" applyProtection="0"/>
    <xf numFmtId="0" fontId="133" fillId="0" borderId="0"/>
    <xf numFmtId="0" fontId="133" fillId="59" borderId="68" applyNumberFormat="0" applyFont="0" applyAlignment="0" applyProtection="0"/>
    <xf numFmtId="0" fontId="133" fillId="59" borderId="68" applyNumberFormat="0" applyFont="0" applyAlignment="0" applyProtection="0"/>
    <xf numFmtId="0" fontId="133" fillId="59" borderId="68" applyNumberFormat="0" applyFont="0" applyAlignment="0" applyProtection="0"/>
    <xf numFmtId="0" fontId="133" fillId="0" borderId="0"/>
    <xf numFmtId="0" fontId="133" fillId="0" borderId="0"/>
    <xf numFmtId="0" fontId="133" fillId="0" borderId="0"/>
    <xf numFmtId="0" fontId="133" fillId="0" borderId="0"/>
    <xf numFmtId="0" fontId="133" fillId="0" borderId="0"/>
    <xf numFmtId="170" fontId="133" fillId="0" borderId="0"/>
    <xf numFmtId="170" fontId="149" fillId="58" borderId="0" applyNumberFormat="0" applyBorder="0" applyAlignment="0" applyProtection="0"/>
    <xf numFmtId="170" fontId="14" fillId="0" borderId="0"/>
    <xf numFmtId="170" fontId="133" fillId="0" borderId="0"/>
    <xf numFmtId="170" fontId="133" fillId="0" borderId="0"/>
    <xf numFmtId="170" fontId="14" fillId="0" borderId="0"/>
    <xf numFmtId="170" fontId="12" fillId="0" borderId="0"/>
    <xf numFmtId="170" fontId="68" fillId="0" borderId="0"/>
    <xf numFmtId="170" fontId="12" fillId="0" borderId="0"/>
    <xf numFmtId="170" fontId="12" fillId="0" borderId="0"/>
    <xf numFmtId="170" fontId="12" fillId="0" borderId="0"/>
    <xf numFmtId="170" fontId="68" fillId="0" borderId="0"/>
    <xf numFmtId="170" fontId="133" fillId="0" borderId="0"/>
    <xf numFmtId="170" fontId="12" fillId="0" borderId="0"/>
    <xf numFmtId="170" fontId="134" fillId="0" borderId="0"/>
    <xf numFmtId="170" fontId="133" fillId="91" borderId="0" applyNumberFormat="0" applyBorder="0" applyAlignment="0" applyProtection="0"/>
    <xf numFmtId="170" fontId="133" fillId="92" borderId="0" applyNumberFormat="0" applyBorder="0" applyAlignment="0" applyProtection="0"/>
    <xf numFmtId="170" fontId="133" fillId="93" borderId="0" applyNumberFormat="0" applyBorder="0" applyAlignment="0" applyProtection="0"/>
    <xf numFmtId="170" fontId="133" fillId="96" borderId="0" applyNumberFormat="0" applyBorder="0" applyAlignment="0" applyProtection="0"/>
    <xf numFmtId="170" fontId="133" fillId="37" borderId="0" applyNumberFormat="0" applyBorder="0" applyAlignment="0" applyProtection="0"/>
    <xf numFmtId="170" fontId="133" fillId="38" borderId="0" applyNumberFormat="0" applyBorder="0" applyAlignment="0" applyProtection="0"/>
    <xf numFmtId="170" fontId="133" fillId="39" borderId="0" applyNumberFormat="0" applyBorder="0" applyAlignment="0" applyProtection="0"/>
    <xf numFmtId="170" fontId="133" fillId="40" borderId="0" applyNumberFormat="0" applyBorder="0" applyAlignment="0" applyProtection="0"/>
    <xf numFmtId="170" fontId="133" fillId="94" borderId="0" applyNumberFormat="0" applyBorder="0" applyAlignment="0" applyProtection="0"/>
    <xf numFmtId="170" fontId="133" fillId="41" borderId="0" applyNumberFormat="0" applyBorder="0" applyAlignment="0" applyProtection="0"/>
    <xf numFmtId="170" fontId="133" fillId="42" borderId="0" applyNumberFormat="0" applyBorder="0" applyAlignment="0" applyProtection="0"/>
    <xf numFmtId="170" fontId="133" fillId="43" borderId="0" applyNumberFormat="0" applyBorder="0" applyAlignment="0" applyProtection="0"/>
    <xf numFmtId="170" fontId="149" fillId="58" borderId="0" applyNumberFormat="0" applyBorder="0" applyAlignment="0" applyProtection="0"/>
    <xf numFmtId="170" fontId="133" fillId="0" borderId="0"/>
    <xf numFmtId="170" fontId="133" fillId="59" borderId="68" applyNumberFormat="0" applyFont="0" applyAlignment="0" applyProtection="0"/>
    <xf numFmtId="170" fontId="133" fillId="59" borderId="68" applyNumberFormat="0" applyFont="0" applyAlignment="0" applyProtection="0"/>
    <xf numFmtId="170" fontId="82" fillId="0" borderId="0"/>
    <xf numFmtId="170" fontId="82" fillId="0" borderId="0"/>
    <xf numFmtId="170" fontId="133" fillId="0" borderId="0"/>
    <xf numFmtId="170" fontId="133" fillId="0" borderId="0"/>
    <xf numFmtId="170" fontId="133" fillId="59" borderId="68" applyNumberFormat="0" applyFont="0" applyAlignment="0" applyProtection="0"/>
    <xf numFmtId="170" fontId="146" fillId="0" borderId="0" applyNumberFormat="0" applyFill="0" applyBorder="0" applyAlignment="0" applyProtection="0">
      <alignment vertical="top"/>
      <protection locked="0"/>
    </xf>
    <xf numFmtId="170" fontId="133" fillId="0" borderId="0"/>
    <xf numFmtId="0" fontId="133" fillId="0" borderId="0"/>
    <xf numFmtId="0" fontId="133" fillId="0" borderId="0"/>
    <xf numFmtId="0" fontId="12" fillId="0" borderId="0"/>
    <xf numFmtId="0" fontId="68" fillId="0" borderId="0"/>
    <xf numFmtId="0" fontId="133" fillId="0" borderId="0"/>
    <xf numFmtId="0" fontId="14" fillId="0" borderId="0"/>
    <xf numFmtId="170" fontId="134" fillId="0" borderId="0"/>
    <xf numFmtId="0" fontId="82" fillId="0" borderId="0"/>
    <xf numFmtId="0" fontId="133" fillId="0" borderId="0"/>
    <xf numFmtId="0" fontId="14" fillId="0" borderId="0"/>
    <xf numFmtId="0" fontId="133" fillId="0" borderId="0"/>
    <xf numFmtId="0" fontId="134" fillId="0" borderId="0"/>
    <xf numFmtId="0" fontId="14" fillId="0" borderId="0"/>
    <xf numFmtId="0" fontId="14" fillId="0" borderId="0"/>
    <xf numFmtId="0" fontId="94" fillId="0" borderId="94" applyNumberFormat="0" applyFill="0" applyAlignment="0" applyProtection="0"/>
    <xf numFmtId="170" fontId="94" fillId="0" borderId="94" applyNumberFormat="0" applyFill="0" applyAlignment="0" applyProtection="0"/>
    <xf numFmtId="0" fontId="94" fillId="0" borderId="94" applyNumberFormat="0" applyFill="0" applyAlignment="0" applyProtection="0"/>
    <xf numFmtId="0" fontId="94" fillId="0" borderId="94" applyNumberFormat="0" applyFill="0" applyAlignment="0" applyProtection="0"/>
    <xf numFmtId="0" fontId="94" fillId="0" borderId="94" applyNumberFormat="0" applyFill="0" applyAlignment="0" applyProtection="0"/>
    <xf numFmtId="170" fontId="94" fillId="0" borderId="94" applyNumberFormat="0" applyFill="0" applyAlignment="0" applyProtection="0"/>
    <xf numFmtId="0" fontId="88" fillId="21" borderId="93" applyNumberFormat="0" applyAlignment="0" applyProtection="0"/>
    <xf numFmtId="0" fontId="88" fillId="21" borderId="93" applyNumberFormat="0" applyAlignment="0" applyProtection="0"/>
    <xf numFmtId="0" fontId="88" fillId="21" borderId="93" applyNumberFormat="0" applyAlignment="0" applyProtection="0"/>
    <xf numFmtId="0" fontId="88" fillId="21" borderId="93" applyNumberFormat="0" applyAlignment="0" applyProtection="0"/>
    <xf numFmtId="0" fontId="88" fillId="21" borderId="93" applyNumberFormat="0" applyAlignment="0" applyProtection="0"/>
    <xf numFmtId="0" fontId="88" fillId="21" borderId="93" applyNumberFormat="0" applyAlignment="0" applyProtection="0"/>
    <xf numFmtId="0" fontId="88" fillId="21" borderId="93" applyNumberFormat="0" applyAlignment="0" applyProtection="0"/>
    <xf numFmtId="170" fontId="88" fillId="21" borderId="93" applyNumberFormat="0" applyAlignment="0" applyProtection="0"/>
    <xf numFmtId="0" fontId="88" fillId="21" borderId="93" applyNumberFormat="0" applyAlignment="0" applyProtection="0"/>
    <xf numFmtId="0" fontId="88" fillId="21" borderId="93" applyNumberFormat="0" applyAlignment="0" applyProtection="0"/>
    <xf numFmtId="170" fontId="88" fillId="21" borderId="93" applyNumberFormat="0" applyAlignment="0" applyProtection="0"/>
    <xf numFmtId="0" fontId="88" fillId="21" borderId="93" applyNumberFormat="0" applyAlignment="0" applyProtection="0"/>
    <xf numFmtId="170" fontId="88" fillId="21" borderId="93" applyNumberFormat="0" applyAlignment="0" applyProtection="0"/>
    <xf numFmtId="0" fontId="88" fillId="21" borderId="93" applyNumberFormat="0" applyAlignment="0" applyProtection="0"/>
    <xf numFmtId="0" fontId="88" fillId="21" borderId="93" applyNumberFormat="0" applyAlignment="0" applyProtection="0"/>
    <xf numFmtId="170" fontId="88" fillId="21" borderId="93" applyNumberFormat="0" applyAlignment="0" applyProtection="0"/>
    <xf numFmtId="0" fontId="88" fillId="21" borderId="93" applyNumberFormat="0" applyAlignment="0" applyProtection="0"/>
    <xf numFmtId="170" fontId="88" fillId="21" borderId="93" applyNumberFormat="0" applyAlignment="0" applyProtection="0"/>
    <xf numFmtId="0" fontId="88" fillId="21" borderId="93" applyNumberFormat="0" applyAlignment="0" applyProtection="0"/>
    <xf numFmtId="0" fontId="88" fillId="21" borderId="93" applyNumberFormat="0" applyAlignment="0" applyProtection="0"/>
    <xf numFmtId="0" fontId="88" fillId="21" borderId="93" applyNumberFormat="0" applyAlignment="0" applyProtection="0"/>
    <xf numFmtId="0" fontId="88" fillId="21" borderId="93" applyNumberFormat="0" applyAlignment="0" applyProtection="0"/>
    <xf numFmtId="170" fontId="88" fillId="21" borderId="93" applyNumberFormat="0" applyAlignment="0" applyProtection="0"/>
    <xf numFmtId="0" fontId="88" fillId="21" borderId="93" applyNumberFormat="0" applyAlignment="0" applyProtection="0"/>
    <xf numFmtId="0" fontId="88" fillId="21" borderId="93" applyNumberFormat="0" applyAlignment="0" applyProtection="0"/>
    <xf numFmtId="0" fontId="88" fillId="21" borderId="93" applyNumberFormat="0" applyAlignment="0" applyProtection="0"/>
    <xf numFmtId="170" fontId="88" fillId="21" borderId="93" applyNumberFormat="0" applyAlignment="0" applyProtection="0"/>
    <xf numFmtId="0" fontId="134" fillId="0" borderId="0"/>
    <xf numFmtId="0" fontId="1" fillId="0" borderId="0"/>
    <xf numFmtId="0" fontId="1" fillId="0" borderId="0"/>
    <xf numFmtId="0" fontId="1" fillId="91" borderId="0" applyNumberFormat="0" applyBorder="0" applyAlignment="0" applyProtection="0"/>
    <xf numFmtId="0" fontId="1" fillId="92" borderId="0" applyNumberFormat="0" applyBorder="0" applyAlignment="0" applyProtection="0"/>
    <xf numFmtId="0" fontId="1" fillId="93" borderId="0" applyNumberFormat="0" applyBorder="0" applyAlignment="0" applyProtection="0"/>
    <xf numFmtId="0" fontId="1" fillId="9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94"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0" borderId="0"/>
    <xf numFmtId="0" fontId="1" fillId="59" borderId="68" applyNumberFormat="0" applyFont="0" applyAlignment="0" applyProtection="0"/>
    <xf numFmtId="0" fontId="1" fillId="59" borderId="68" applyNumberFormat="0" applyFont="0" applyAlignment="0" applyProtection="0"/>
    <xf numFmtId="0" fontId="1" fillId="0" borderId="0"/>
    <xf numFmtId="0" fontId="1" fillId="0" borderId="0"/>
    <xf numFmtId="0" fontId="1" fillId="59" borderId="6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170" fontId="1" fillId="0" borderId="0"/>
    <xf numFmtId="170" fontId="1" fillId="0" borderId="0"/>
    <xf numFmtId="170" fontId="1" fillId="91" borderId="0" applyNumberFormat="0" applyBorder="0" applyAlignment="0" applyProtection="0"/>
    <xf numFmtId="170" fontId="1" fillId="92" borderId="0" applyNumberFormat="0" applyBorder="0" applyAlignment="0" applyProtection="0"/>
    <xf numFmtId="170" fontId="1" fillId="93" borderId="0" applyNumberFormat="0" applyBorder="0" applyAlignment="0" applyProtection="0"/>
    <xf numFmtId="170" fontId="1" fillId="96" borderId="0" applyNumberFormat="0" applyBorder="0" applyAlignment="0" applyProtection="0"/>
    <xf numFmtId="170" fontId="1" fillId="37" borderId="0" applyNumberFormat="0" applyBorder="0" applyAlignment="0" applyProtection="0"/>
    <xf numFmtId="170" fontId="1" fillId="38" borderId="0" applyNumberFormat="0" applyBorder="0" applyAlignment="0" applyProtection="0"/>
    <xf numFmtId="170" fontId="1" fillId="39" borderId="0" applyNumberFormat="0" applyBorder="0" applyAlignment="0" applyProtection="0"/>
    <xf numFmtId="170" fontId="1" fillId="40" borderId="0" applyNumberFormat="0" applyBorder="0" applyAlignment="0" applyProtection="0"/>
    <xf numFmtId="170" fontId="1" fillId="94" borderId="0" applyNumberFormat="0" applyBorder="0" applyAlignment="0" applyProtection="0"/>
    <xf numFmtId="170" fontId="1" fillId="41" borderId="0" applyNumberFormat="0" applyBorder="0" applyAlignment="0" applyProtection="0"/>
    <xf numFmtId="170" fontId="1" fillId="42" borderId="0" applyNumberFormat="0" applyBorder="0" applyAlignment="0" applyProtection="0"/>
    <xf numFmtId="170" fontId="1" fillId="43" borderId="0" applyNumberFormat="0" applyBorder="0" applyAlignment="0" applyProtection="0"/>
    <xf numFmtId="170" fontId="1" fillId="0" borderId="0"/>
    <xf numFmtId="170" fontId="1" fillId="59" borderId="68" applyNumberFormat="0" applyFont="0" applyAlignment="0" applyProtection="0"/>
    <xf numFmtId="170" fontId="1" fillId="59" borderId="68" applyNumberFormat="0" applyFont="0" applyAlignment="0" applyProtection="0"/>
    <xf numFmtId="170" fontId="1" fillId="0" borderId="0"/>
    <xf numFmtId="170" fontId="1" fillId="0" borderId="0"/>
    <xf numFmtId="170" fontId="1" fillId="59" borderId="68" applyNumberFormat="0" applyFont="0" applyAlignment="0" applyProtection="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1" borderId="0" applyNumberFormat="0" applyBorder="0" applyAlignment="0" applyProtection="0"/>
    <xf numFmtId="0" fontId="1" fillId="92" borderId="0" applyNumberFormat="0" applyBorder="0" applyAlignment="0" applyProtection="0"/>
    <xf numFmtId="0" fontId="1" fillId="93" borderId="0" applyNumberFormat="0" applyBorder="0" applyAlignment="0" applyProtection="0"/>
    <xf numFmtId="0" fontId="1" fillId="9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94"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0" borderId="0"/>
    <xf numFmtId="0" fontId="1" fillId="59" borderId="68" applyNumberFormat="0" applyFont="0" applyAlignment="0" applyProtection="0"/>
    <xf numFmtId="0" fontId="1" fillId="59" borderId="68" applyNumberFormat="0" applyFont="0" applyAlignment="0" applyProtection="0"/>
    <xf numFmtId="0" fontId="1" fillId="0" borderId="0"/>
    <xf numFmtId="0" fontId="1" fillId="0" borderId="0"/>
    <xf numFmtId="0" fontId="1" fillId="59" borderId="6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91" borderId="0" applyNumberFormat="0" applyBorder="0" applyAlignment="0" applyProtection="0"/>
    <xf numFmtId="0" fontId="1" fillId="92" borderId="0" applyNumberFormat="0" applyBorder="0" applyAlignment="0" applyProtection="0"/>
    <xf numFmtId="0" fontId="1" fillId="93" borderId="0" applyNumberFormat="0" applyBorder="0" applyAlignment="0" applyProtection="0"/>
    <xf numFmtId="0" fontId="1" fillId="9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94"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59" borderId="68" applyNumberFormat="0" applyFont="0" applyAlignment="0" applyProtection="0"/>
    <xf numFmtId="0" fontId="1" fillId="59" borderId="68" applyNumberFormat="0" applyFont="0" applyAlignment="0" applyProtection="0"/>
    <xf numFmtId="0" fontId="1" fillId="59" borderId="68" applyNumberFormat="0" applyFont="0" applyAlignment="0" applyProtection="0"/>
    <xf numFmtId="0" fontId="1" fillId="0" borderId="0"/>
    <xf numFmtId="0" fontId="1" fillId="0" borderId="0"/>
    <xf numFmtId="0" fontId="173" fillId="0" borderId="0"/>
    <xf numFmtId="0" fontId="2" fillId="105" borderId="0" applyNumberFormat="0" applyBorder="0" applyAlignment="0" applyProtection="0"/>
    <xf numFmtId="0" fontId="2" fillId="7" borderId="0" applyNumberFormat="0" applyBorder="0" applyAlignment="0" applyProtection="0"/>
    <xf numFmtId="0" fontId="2" fillId="23" borderId="0" applyNumberFormat="0" applyBorder="0" applyAlignment="0" applyProtection="0"/>
    <xf numFmtId="0" fontId="2" fillId="105" borderId="0" applyNumberFormat="0" applyBorder="0" applyAlignment="0" applyProtection="0"/>
    <xf numFmtId="0" fontId="2" fillId="20" borderId="0" applyNumberFormat="0" applyBorder="0" applyAlignment="0" applyProtection="0"/>
    <xf numFmtId="0" fontId="2" fillId="22" borderId="0" applyNumberFormat="0" applyBorder="0" applyAlignment="0" applyProtection="0"/>
    <xf numFmtId="0" fontId="2" fillId="20" borderId="0" applyNumberFormat="0" applyBorder="0" applyAlignment="0" applyProtection="0"/>
    <xf numFmtId="0" fontId="2" fillId="7" borderId="0" applyNumberFormat="0" applyBorder="0" applyAlignment="0" applyProtection="0"/>
    <xf numFmtId="0" fontId="85" fillId="14" borderId="0" applyNumberFormat="0" applyBorder="0" applyAlignment="0" applyProtection="0"/>
    <xf numFmtId="0" fontId="85" fillId="20" borderId="0" applyNumberFormat="0" applyBorder="0" applyAlignment="0" applyProtection="0"/>
    <xf numFmtId="0" fontId="85" fillId="7" borderId="0" applyNumberFormat="0" applyBorder="0" applyAlignment="0" applyProtection="0"/>
    <xf numFmtId="0" fontId="85" fillId="14" borderId="0" applyNumberFormat="0" applyBorder="0" applyAlignment="0" applyProtection="0"/>
    <xf numFmtId="0" fontId="85" fillId="10" borderId="0" applyNumberFormat="0" applyBorder="0" applyAlignment="0" applyProtection="0"/>
    <xf numFmtId="0" fontId="85" fillId="106" borderId="0" applyNumberFormat="0" applyBorder="0" applyAlignment="0" applyProtection="0"/>
    <xf numFmtId="0" fontId="87" fillId="105" borderId="1" applyNumberFormat="0" applyAlignment="0" applyProtection="0"/>
    <xf numFmtId="0" fontId="174" fillId="0" borderId="0" applyNumberFormat="0" applyFill="0" applyBorder="0" applyAlignment="0" applyProtection="0"/>
    <xf numFmtId="0" fontId="174" fillId="0" borderId="0" applyNumberFormat="0" applyFill="0" applyBorder="0" applyAlignment="0" applyProtection="0"/>
    <xf numFmtId="0" fontId="174" fillId="0" borderId="0" applyNumberFormat="0" applyFill="0" applyBorder="0" applyProtection="0">
      <alignment horizontal="left"/>
    </xf>
    <xf numFmtId="0" fontId="175" fillId="0" borderId="101" applyNumberFormat="0" applyFill="0" applyAlignment="0" applyProtection="0"/>
    <xf numFmtId="0" fontId="176" fillId="0" borderId="4" applyNumberFormat="0" applyFill="0" applyAlignment="0" applyProtection="0"/>
    <xf numFmtId="0" fontId="177" fillId="0" borderId="102" applyNumberFormat="0" applyFill="0" applyAlignment="0" applyProtection="0"/>
    <xf numFmtId="0" fontId="177" fillId="0" borderId="0" applyNumberFormat="0" applyFill="0" applyBorder="0" applyAlignment="0" applyProtection="0"/>
    <xf numFmtId="0" fontId="2" fillId="0" borderId="0"/>
    <xf numFmtId="0" fontId="2" fillId="0" borderId="0"/>
    <xf numFmtId="0" fontId="96" fillId="105" borderId="8" applyNumberFormat="0" applyAlignment="0" applyProtection="0"/>
    <xf numFmtId="0" fontId="174" fillId="0" borderId="0" applyNumberFormat="0" applyFill="0" applyBorder="0" applyAlignment="0" applyProtection="0"/>
    <xf numFmtId="0" fontId="178" fillId="0" borderId="0" applyNumberFormat="0" applyFill="0" applyBorder="0" applyAlignment="0" applyProtection="0"/>
    <xf numFmtId="0" fontId="174" fillId="0" borderId="0" applyNumberFormat="0" applyFill="0" applyBorder="0" applyProtection="0">
      <alignment horizontal="left"/>
    </xf>
    <xf numFmtId="0" fontId="174" fillId="0" borderId="0" applyNumberFormat="0" applyFill="0" applyBorder="0" applyAlignment="0" applyProtection="0"/>
    <xf numFmtId="0" fontId="87" fillId="105" borderId="1" applyNumberFormat="0" applyAlignment="0" applyProtection="0"/>
    <xf numFmtId="0" fontId="93" fillId="7" borderId="1" applyNumberFormat="0" applyAlignment="0" applyProtection="0"/>
    <xf numFmtId="0" fontId="14" fillId="23" borderId="7" applyNumberFormat="0" applyFont="0" applyAlignment="0" applyProtection="0"/>
    <xf numFmtId="0" fontId="96" fillId="105" borderId="8" applyNumberFormat="0" applyAlignment="0" applyProtection="0"/>
    <xf numFmtId="0" fontId="87" fillId="20" borderId="1" applyNumberFormat="0" applyAlignment="0" applyProtection="0"/>
    <xf numFmtId="0" fontId="93" fillId="7" borderId="1" applyNumberFormat="0" applyAlignment="0" applyProtection="0"/>
    <xf numFmtId="0" fontId="14" fillId="23" borderId="7" applyNumberFormat="0" applyFont="0" applyAlignment="0" applyProtection="0"/>
    <xf numFmtId="0" fontId="96" fillId="20" borderId="8" applyNumberFormat="0" applyAlignment="0" applyProtection="0"/>
    <xf numFmtId="170" fontId="87" fillId="20" borderId="1" applyNumberFormat="0" applyAlignment="0" applyProtection="0"/>
    <xf numFmtId="170" fontId="93" fillId="7" borderId="1" applyNumberFormat="0" applyAlignment="0" applyProtection="0"/>
    <xf numFmtId="170" fontId="14" fillId="23" borderId="7" applyNumberFormat="0" applyFont="0" applyAlignment="0" applyProtection="0"/>
    <xf numFmtId="170" fontId="96" fillId="20" borderId="8" applyNumberFormat="0" applyAlignment="0" applyProtection="0"/>
    <xf numFmtId="0" fontId="87" fillId="20" borderId="1" applyNumberFormat="0" applyAlignment="0" applyProtection="0"/>
    <xf numFmtId="0" fontId="93" fillId="7" borderId="1" applyNumberFormat="0" applyAlignment="0" applyProtection="0"/>
    <xf numFmtId="0" fontId="96" fillId="20" borderId="8" applyNumberFormat="0" applyAlignment="0" applyProtection="0"/>
    <xf numFmtId="0" fontId="1" fillId="0" borderId="0"/>
    <xf numFmtId="0" fontId="1" fillId="0" borderId="0"/>
    <xf numFmtId="0" fontId="1" fillId="91" borderId="0" applyNumberFormat="0" applyBorder="0" applyAlignment="0" applyProtection="0"/>
    <xf numFmtId="0" fontId="1" fillId="92" borderId="0" applyNumberFormat="0" applyBorder="0" applyAlignment="0" applyProtection="0"/>
    <xf numFmtId="0" fontId="1" fillId="93" borderId="0" applyNumberFormat="0" applyBorder="0" applyAlignment="0" applyProtection="0"/>
    <xf numFmtId="0" fontId="1" fillId="9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94"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0" borderId="0"/>
    <xf numFmtId="0" fontId="1" fillId="59" borderId="68" applyNumberFormat="0" applyFont="0" applyAlignment="0" applyProtection="0"/>
    <xf numFmtId="0" fontId="1" fillId="59" borderId="68" applyNumberFormat="0" applyFont="0" applyAlignment="0" applyProtection="0"/>
    <xf numFmtId="0" fontId="1" fillId="0" borderId="0"/>
    <xf numFmtId="0" fontId="1" fillId="0" borderId="0"/>
    <xf numFmtId="0" fontId="1" fillId="59" borderId="6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170" fontId="1" fillId="0" borderId="0"/>
    <xf numFmtId="170" fontId="1" fillId="0" borderId="0"/>
    <xf numFmtId="170" fontId="1" fillId="91" borderId="0" applyNumberFormat="0" applyBorder="0" applyAlignment="0" applyProtection="0"/>
    <xf numFmtId="170" fontId="1" fillId="92" borderId="0" applyNumberFormat="0" applyBorder="0" applyAlignment="0" applyProtection="0"/>
    <xf numFmtId="170" fontId="1" fillId="93" borderId="0" applyNumberFormat="0" applyBorder="0" applyAlignment="0" applyProtection="0"/>
    <xf numFmtId="170" fontId="1" fillId="96" borderId="0" applyNumberFormat="0" applyBorder="0" applyAlignment="0" applyProtection="0"/>
    <xf numFmtId="170" fontId="1" fillId="37" borderId="0" applyNumberFormat="0" applyBorder="0" applyAlignment="0" applyProtection="0"/>
    <xf numFmtId="170" fontId="1" fillId="38" borderId="0" applyNumberFormat="0" applyBorder="0" applyAlignment="0" applyProtection="0"/>
    <xf numFmtId="170" fontId="1" fillId="39" borderId="0" applyNumberFormat="0" applyBorder="0" applyAlignment="0" applyProtection="0"/>
    <xf numFmtId="170" fontId="1" fillId="40" borderId="0" applyNumberFormat="0" applyBorder="0" applyAlignment="0" applyProtection="0"/>
    <xf numFmtId="170" fontId="1" fillId="94" borderId="0" applyNumberFormat="0" applyBorder="0" applyAlignment="0" applyProtection="0"/>
    <xf numFmtId="170" fontId="1" fillId="41" borderId="0" applyNumberFormat="0" applyBorder="0" applyAlignment="0" applyProtection="0"/>
    <xf numFmtId="170" fontId="1" fillId="42" borderId="0" applyNumberFormat="0" applyBorder="0" applyAlignment="0" applyProtection="0"/>
    <xf numFmtId="170" fontId="1" fillId="43" borderId="0" applyNumberFormat="0" applyBorder="0" applyAlignment="0" applyProtection="0"/>
    <xf numFmtId="170" fontId="1" fillId="0" borderId="0"/>
    <xf numFmtId="170" fontId="1" fillId="59" borderId="68" applyNumberFormat="0" applyFont="0" applyAlignment="0" applyProtection="0"/>
    <xf numFmtId="170" fontId="1" fillId="59" borderId="68" applyNumberFormat="0" applyFont="0" applyAlignment="0" applyProtection="0"/>
    <xf numFmtId="170" fontId="1" fillId="0" borderId="0"/>
    <xf numFmtId="170" fontId="1" fillId="0" borderId="0"/>
    <xf numFmtId="170" fontId="1" fillId="59" borderId="68" applyNumberFormat="0" applyFont="0" applyAlignment="0" applyProtection="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1" borderId="0" applyNumberFormat="0" applyBorder="0" applyAlignment="0" applyProtection="0"/>
    <xf numFmtId="0" fontId="1" fillId="92" borderId="0" applyNumberFormat="0" applyBorder="0" applyAlignment="0" applyProtection="0"/>
    <xf numFmtId="0" fontId="1" fillId="93" borderId="0" applyNumberFormat="0" applyBorder="0" applyAlignment="0" applyProtection="0"/>
    <xf numFmtId="0" fontId="1" fillId="9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94"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0" borderId="0"/>
    <xf numFmtId="0" fontId="1" fillId="59" borderId="68" applyNumberFormat="0" applyFont="0" applyAlignment="0" applyProtection="0"/>
    <xf numFmtId="0" fontId="1" fillId="59" borderId="68" applyNumberFormat="0" applyFont="0" applyAlignment="0" applyProtection="0"/>
    <xf numFmtId="0" fontId="1" fillId="0" borderId="0"/>
    <xf numFmtId="0" fontId="1" fillId="0" borderId="0"/>
    <xf numFmtId="0" fontId="1" fillId="59" borderId="6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91" borderId="0" applyNumberFormat="0" applyBorder="0" applyAlignment="0" applyProtection="0"/>
    <xf numFmtId="0" fontId="1" fillId="92" borderId="0" applyNumberFormat="0" applyBorder="0" applyAlignment="0" applyProtection="0"/>
    <xf numFmtId="0" fontId="1" fillId="93" borderId="0" applyNumberFormat="0" applyBorder="0" applyAlignment="0" applyProtection="0"/>
    <xf numFmtId="0" fontId="1" fillId="9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94"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59" borderId="68" applyNumberFormat="0" applyFont="0" applyAlignment="0" applyProtection="0"/>
    <xf numFmtId="0" fontId="1" fillId="59" borderId="68" applyNumberFormat="0" applyFont="0" applyAlignment="0" applyProtection="0"/>
    <xf numFmtId="0" fontId="1" fillId="59" borderId="68" applyNumberFormat="0" applyFont="0" applyAlignment="0" applyProtection="0"/>
    <xf numFmtId="0" fontId="1" fillId="0" borderId="0"/>
    <xf numFmtId="0" fontId="1" fillId="0" borderId="0"/>
    <xf numFmtId="0" fontId="87" fillId="105" borderId="1" applyNumberFormat="0" applyAlignment="0" applyProtection="0"/>
    <xf numFmtId="0" fontId="96" fillId="105" borderId="8" applyNumberFormat="0" applyAlignment="0" applyProtection="0"/>
    <xf numFmtId="0" fontId="1" fillId="0" borderId="0"/>
    <xf numFmtId="0" fontId="14" fillId="0" borderId="0"/>
    <xf numFmtId="0" fontId="12" fillId="0" borderId="0"/>
    <xf numFmtId="0" fontId="12" fillId="0" borderId="0"/>
    <xf numFmtId="0" fontId="12" fillId="0" borderId="0"/>
    <xf numFmtId="0" fontId="12" fillId="0" borderId="0"/>
    <xf numFmtId="0" fontId="12" fillId="0" borderId="0"/>
    <xf numFmtId="0" fontId="1" fillId="0" borderId="0"/>
    <xf numFmtId="0" fontId="153" fillId="0" borderId="0" applyNumberFormat="0" applyFill="0" applyBorder="0" applyAlignment="0" applyProtection="0"/>
    <xf numFmtId="0" fontId="1" fillId="91" borderId="0" applyNumberFormat="0" applyBorder="0" applyAlignment="0" applyProtection="0"/>
    <xf numFmtId="0" fontId="1" fillId="92" borderId="0" applyNumberFormat="0" applyBorder="0" applyAlignment="0" applyProtection="0"/>
    <xf numFmtId="0" fontId="1" fillId="93" borderId="0" applyNumberFormat="0" applyBorder="0" applyAlignment="0" applyProtection="0"/>
    <xf numFmtId="0" fontId="1" fillId="9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94"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0" borderId="0"/>
    <xf numFmtId="0" fontId="1" fillId="59" borderId="68" applyNumberFormat="0" applyFont="0" applyAlignment="0" applyProtection="0"/>
    <xf numFmtId="0" fontId="1" fillId="59" borderId="68" applyNumberFormat="0" applyFont="0" applyAlignment="0" applyProtection="0"/>
    <xf numFmtId="0" fontId="1" fillId="0" borderId="0"/>
    <xf numFmtId="0" fontId="1" fillId="0" borderId="0"/>
    <xf numFmtId="0" fontId="1" fillId="59" borderId="6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170" fontId="1" fillId="0" borderId="0"/>
    <xf numFmtId="170" fontId="1" fillId="0" borderId="0"/>
    <xf numFmtId="170" fontId="1" fillId="91" borderId="0" applyNumberFormat="0" applyBorder="0" applyAlignment="0" applyProtection="0"/>
    <xf numFmtId="170" fontId="1" fillId="92" borderId="0" applyNumberFormat="0" applyBorder="0" applyAlignment="0" applyProtection="0"/>
    <xf numFmtId="170" fontId="1" fillId="93" borderId="0" applyNumberFormat="0" applyBorder="0" applyAlignment="0" applyProtection="0"/>
    <xf numFmtId="170" fontId="1" fillId="96" borderId="0" applyNumberFormat="0" applyBorder="0" applyAlignment="0" applyProtection="0"/>
    <xf numFmtId="170" fontId="1" fillId="37" borderId="0" applyNumberFormat="0" applyBorder="0" applyAlignment="0" applyProtection="0"/>
    <xf numFmtId="170" fontId="1" fillId="38" borderId="0" applyNumberFormat="0" applyBorder="0" applyAlignment="0" applyProtection="0"/>
    <xf numFmtId="170" fontId="1" fillId="39" borderId="0" applyNumberFormat="0" applyBorder="0" applyAlignment="0" applyProtection="0"/>
    <xf numFmtId="170" fontId="1" fillId="40" borderId="0" applyNumberFormat="0" applyBorder="0" applyAlignment="0" applyProtection="0"/>
    <xf numFmtId="170" fontId="1" fillId="94" borderId="0" applyNumberFormat="0" applyBorder="0" applyAlignment="0" applyProtection="0"/>
    <xf numFmtId="170" fontId="1" fillId="41" borderId="0" applyNumberFormat="0" applyBorder="0" applyAlignment="0" applyProtection="0"/>
    <xf numFmtId="170" fontId="1" fillId="42" borderId="0" applyNumberFormat="0" applyBorder="0" applyAlignment="0" applyProtection="0"/>
    <xf numFmtId="170" fontId="1" fillId="43" borderId="0" applyNumberFormat="0" applyBorder="0" applyAlignment="0" applyProtection="0"/>
    <xf numFmtId="170" fontId="1" fillId="0" borderId="0"/>
    <xf numFmtId="170" fontId="1" fillId="59" borderId="68" applyNumberFormat="0" applyFont="0" applyAlignment="0" applyProtection="0"/>
    <xf numFmtId="170" fontId="1" fillId="59" borderId="68" applyNumberFormat="0" applyFont="0" applyAlignment="0" applyProtection="0"/>
    <xf numFmtId="170" fontId="1" fillId="0" borderId="0"/>
    <xf numFmtId="170" fontId="1" fillId="0" borderId="0"/>
    <xf numFmtId="170" fontId="1" fillId="59" borderId="68" applyNumberFormat="0" applyFont="0" applyAlignment="0" applyProtection="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1" borderId="0" applyNumberFormat="0" applyBorder="0" applyAlignment="0" applyProtection="0"/>
    <xf numFmtId="0" fontId="1" fillId="92" borderId="0" applyNumberFormat="0" applyBorder="0" applyAlignment="0" applyProtection="0"/>
    <xf numFmtId="0" fontId="1" fillId="93" borderId="0" applyNumberFormat="0" applyBorder="0" applyAlignment="0" applyProtection="0"/>
    <xf numFmtId="0" fontId="1" fillId="9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94"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0" borderId="0"/>
    <xf numFmtId="0" fontId="1" fillId="59" borderId="68" applyNumberFormat="0" applyFont="0" applyAlignment="0" applyProtection="0"/>
    <xf numFmtId="0" fontId="1" fillId="59" borderId="68" applyNumberFormat="0" applyFont="0" applyAlignment="0" applyProtection="0"/>
    <xf numFmtId="0" fontId="1" fillId="0" borderId="0"/>
    <xf numFmtId="0" fontId="1" fillId="0" borderId="0"/>
    <xf numFmtId="0" fontId="1" fillId="59" borderId="6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91" borderId="0" applyNumberFormat="0" applyBorder="0" applyAlignment="0" applyProtection="0"/>
    <xf numFmtId="0" fontId="1" fillId="92" borderId="0" applyNumberFormat="0" applyBorder="0" applyAlignment="0" applyProtection="0"/>
    <xf numFmtId="0" fontId="1" fillId="93" borderId="0" applyNumberFormat="0" applyBorder="0" applyAlignment="0" applyProtection="0"/>
    <xf numFmtId="0" fontId="1" fillId="9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94"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59" borderId="68" applyNumberFormat="0" applyFont="0" applyAlignment="0" applyProtection="0"/>
    <xf numFmtId="0" fontId="1" fillId="59" borderId="68" applyNumberFormat="0" applyFont="0" applyAlignment="0" applyProtection="0"/>
    <xf numFmtId="0" fontId="1" fillId="59" borderId="68" applyNumberFormat="0" applyFont="0" applyAlignment="0" applyProtection="0"/>
    <xf numFmtId="0" fontId="1" fillId="0" borderId="0"/>
    <xf numFmtId="0" fontId="1" fillId="0" borderId="0"/>
    <xf numFmtId="0" fontId="1" fillId="0" borderId="0"/>
    <xf numFmtId="0" fontId="1" fillId="0" borderId="0"/>
    <xf numFmtId="0" fontId="1" fillId="91" borderId="0" applyNumberFormat="0" applyBorder="0" applyAlignment="0" applyProtection="0"/>
    <xf numFmtId="0" fontId="1" fillId="92" borderId="0" applyNumberFormat="0" applyBorder="0" applyAlignment="0" applyProtection="0"/>
    <xf numFmtId="0" fontId="1" fillId="93" borderId="0" applyNumberFormat="0" applyBorder="0" applyAlignment="0" applyProtection="0"/>
    <xf numFmtId="0" fontId="1" fillId="9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94"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0" borderId="0"/>
    <xf numFmtId="0" fontId="1" fillId="59" borderId="68" applyNumberFormat="0" applyFont="0" applyAlignment="0" applyProtection="0"/>
    <xf numFmtId="0" fontId="1" fillId="59" borderId="68" applyNumberFormat="0" applyFont="0" applyAlignment="0" applyProtection="0"/>
    <xf numFmtId="0" fontId="1" fillId="0" borderId="0"/>
    <xf numFmtId="0" fontId="1" fillId="0" borderId="0"/>
    <xf numFmtId="0" fontId="1" fillId="59" borderId="6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170" fontId="1" fillId="0" borderId="0"/>
    <xf numFmtId="170" fontId="1" fillId="0" borderId="0"/>
    <xf numFmtId="170" fontId="1" fillId="91" borderId="0" applyNumberFormat="0" applyBorder="0" applyAlignment="0" applyProtection="0"/>
    <xf numFmtId="170" fontId="1" fillId="92" borderId="0" applyNumberFormat="0" applyBorder="0" applyAlignment="0" applyProtection="0"/>
    <xf numFmtId="170" fontId="1" fillId="93" borderId="0" applyNumberFormat="0" applyBorder="0" applyAlignment="0" applyProtection="0"/>
    <xf numFmtId="170" fontId="1" fillId="96" borderId="0" applyNumberFormat="0" applyBorder="0" applyAlignment="0" applyProtection="0"/>
    <xf numFmtId="170" fontId="1" fillId="37" borderId="0" applyNumberFormat="0" applyBorder="0" applyAlignment="0" applyProtection="0"/>
    <xf numFmtId="170" fontId="1" fillId="38" borderId="0" applyNumberFormat="0" applyBorder="0" applyAlignment="0" applyProtection="0"/>
    <xf numFmtId="170" fontId="1" fillId="39" borderId="0" applyNumberFormat="0" applyBorder="0" applyAlignment="0" applyProtection="0"/>
    <xf numFmtId="170" fontId="1" fillId="40" borderId="0" applyNumberFormat="0" applyBorder="0" applyAlignment="0" applyProtection="0"/>
    <xf numFmtId="170" fontId="1" fillId="94" borderId="0" applyNumberFormat="0" applyBorder="0" applyAlignment="0" applyProtection="0"/>
    <xf numFmtId="170" fontId="1" fillId="41" borderId="0" applyNumberFormat="0" applyBorder="0" applyAlignment="0" applyProtection="0"/>
    <xf numFmtId="170" fontId="1" fillId="42" borderId="0" applyNumberFormat="0" applyBorder="0" applyAlignment="0" applyProtection="0"/>
    <xf numFmtId="170" fontId="1" fillId="43" borderId="0" applyNumberFormat="0" applyBorder="0" applyAlignment="0" applyProtection="0"/>
    <xf numFmtId="170" fontId="1" fillId="0" borderId="0"/>
    <xf numFmtId="170" fontId="1" fillId="59" borderId="68" applyNumberFormat="0" applyFont="0" applyAlignment="0" applyProtection="0"/>
    <xf numFmtId="170" fontId="1" fillId="59" borderId="68" applyNumberFormat="0" applyFont="0" applyAlignment="0" applyProtection="0"/>
    <xf numFmtId="170" fontId="1" fillId="0" borderId="0"/>
    <xf numFmtId="170" fontId="1" fillId="0" borderId="0"/>
    <xf numFmtId="170" fontId="1" fillId="59" borderId="68" applyNumberFormat="0" applyFont="0" applyAlignment="0" applyProtection="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1" borderId="0" applyNumberFormat="0" applyBorder="0" applyAlignment="0" applyProtection="0"/>
    <xf numFmtId="0" fontId="1" fillId="92" borderId="0" applyNumberFormat="0" applyBorder="0" applyAlignment="0" applyProtection="0"/>
    <xf numFmtId="0" fontId="1" fillId="93" borderId="0" applyNumberFormat="0" applyBorder="0" applyAlignment="0" applyProtection="0"/>
    <xf numFmtId="0" fontId="1" fillId="9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94"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0" borderId="0"/>
    <xf numFmtId="0" fontId="1" fillId="59" borderId="68" applyNumberFormat="0" applyFont="0" applyAlignment="0" applyProtection="0"/>
    <xf numFmtId="0" fontId="1" fillId="59" borderId="68" applyNumberFormat="0" applyFont="0" applyAlignment="0" applyProtection="0"/>
    <xf numFmtId="0" fontId="1" fillId="0" borderId="0"/>
    <xf numFmtId="0" fontId="1" fillId="0" borderId="0"/>
    <xf numFmtId="0" fontId="1" fillId="59" borderId="6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91" borderId="0" applyNumberFormat="0" applyBorder="0" applyAlignment="0" applyProtection="0"/>
    <xf numFmtId="0" fontId="1" fillId="92" borderId="0" applyNumberFormat="0" applyBorder="0" applyAlignment="0" applyProtection="0"/>
    <xf numFmtId="0" fontId="1" fillId="93" borderId="0" applyNumberFormat="0" applyBorder="0" applyAlignment="0" applyProtection="0"/>
    <xf numFmtId="0" fontId="1" fillId="9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94"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59" borderId="68" applyNumberFormat="0" applyFont="0" applyAlignment="0" applyProtection="0"/>
    <xf numFmtId="0" fontId="1" fillId="59" borderId="68" applyNumberFormat="0" applyFont="0" applyAlignment="0" applyProtection="0"/>
    <xf numFmtId="0" fontId="1" fillId="59" borderId="68" applyNumberFormat="0" applyFont="0" applyAlignment="0" applyProtection="0"/>
    <xf numFmtId="0" fontId="1" fillId="0" borderId="0"/>
    <xf numFmtId="0" fontId="1" fillId="0" borderId="0"/>
    <xf numFmtId="0" fontId="14" fillId="0" borderId="0"/>
    <xf numFmtId="0" fontId="14" fillId="0" borderId="0"/>
    <xf numFmtId="0" fontId="1" fillId="0" borderId="0"/>
    <xf numFmtId="0" fontId="1" fillId="0" borderId="0"/>
    <xf numFmtId="0" fontId="1" fillId="91" borderId="0" applyNumberFormat="0" applyBorder="0" applyAlignment="0" applyProtection="0"/>
    <xf numFmtId="0" fontId="1" fillId="92" borderId="0" applyNumberFormat="0" applyBorder="0" applyAlignment="0" applyProtection="0"/>
    <xf numFmtId="0" fontId="1" fillId="93" borderId="0" applyNumberFormat="0" applyBorder="0" applyAlignment="0" applyProtection="0"/>
    <xf numFmtId="0" fontId="1" fillId="9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94"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0" borderId="0"/>
    <xf numFmtId="0" fontId="1" fillId="59" borderId="68" applyNumberFormat="0" applyFont="0" applyAlignment="0" applyProtection="0"/>
    <xf numFmtId="0" fontId="1" fillId="59" borderId="68" applyNumberFormat="0" applyFont="0" applyAlignment="0" applyProtection="0"/>
    <xf numFmtId="0" fontId="1" fillId="0" borderId="0"/>
    <xf numFmtId="0" fontId="1" fillId="0" borderId="0"/>
    <xf numFmtId="0" fontId="1" fillId="59" borderId="6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170" fontId="1" fillId="0" borderId="0"/>
    <xf numFmtId="170" fontId="1" fillId="0" borderId="0"/>
    <xf numFmtId="170" fontId="1" fillId="91" borderId="0" applyNumberFormat="0" applyBorder="0" applyAlignment="0" applyProtection="0"/>
    <xf numFmtId="170" fontId="1" fillId="92" borderId="0" applyNumberFormat="0" applyBorder="0" applyAlignment="0" applyProtection="0"/>
    <xf numFmtId="170" fontId="1" fillId="93" borderId="0" applyNumberFormat="0" applyBorder="0" applyAlignment="0" applyProtection="0"/>
    <xf numFmtId="170" fontId="1" fillId="96" borderId="0" applyNumberFormat="0" applyBorder="0" applyAlignment="0" applyProtection="0"/>
    <xf numFmtId="170" fontId="1" fillId="37" borderId="0" applyNumberFormat="0" applyBorder="0" applyAlignment="0" applyProtection="0"/>
    <xf numFmtId="170" fontId="1" fillId="38" borderId="0" applyNumberFormat="0" applyBorder="0" applyAlignment="0" applyProtection="0"/>
    <xf numFmtId="170" fontId="1" fillId="39" borderId="0" applyNumberFormat="0" applyBorder="0" applyAlignment="0" applyProtection="0"/>
    <xf numFmtId="170" fontId="1" fillId="40" borderId="0" applyNumberFormat="0" applyBorder="0" applyAlignment="0" applyProtection="0"/>
    <xf numFmtId="170" fontId="1" fillId="94" borderId="0" applyNumberFormat="0" applyBorder="0" applyAlignment="0" applyProtection="0"/>
    <xf numFmtId="170" fontId="1" fillId="41" borderId="0" applyNumberFormat="0" applyBorder="0" applyAlignment="0" applyProtection="0"/>
    <xf numFmtId="170" fontId="1" fillId="42" borderId="0" applyNumberFormat="0" applyBorder="0" applyAlignment="0" applyProtection="0"/>
    <xf numFmtId="170" fontId="1" fillId="43" borderId="0" applyNumberFormat="0" applyBorder="0" applyAlignment="0" applyProtection="0"/>
    <xf numFmtId="170" fontId="1" fillId="0" borderId="0"/>
    <xf numFmtId="170" fontId="1" fillId="59" borderId="68" applyNumberFormat="0" applyFont="0" applyAlignment="0" applyProtection="0"/>
    <xf numFmtId="170" fontId="1" fillId="59" borderId="68" applyNumberFormat="0" applyFont="0" applyAlignment="0" applyProtection="0"/>
    <xf numFmtId="170" fontId="1" fillId="0" borderId="0"/>
    <xf numFmtId="170" fontId="1" fillId="0" borderId="0"/>
    <xf numFmtId="170" fontId="1" fillId="59" borderId="68" applyNumberFormat="0" applyFont="0" applyAlignment="0" applyProtection="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1" borderId="0" applyNumberFormat="0" applyBorder="0" applyAlignment="0" applyProtection="0"/>
    <xf numFmtId="0" fontId="1" fillId="92" borderId="0" applyNumberFormat="0" applyBorder="0" applyAlignment="0" applyProtection="0"/>
    <xf numFmtId="0" fontId="1" fillId="93" borderId="0" applyNumberFormat="0" applyBorder="0" applyAlignment="0" applyProtection="0"/>
    <xf numFmtId="0" fontId="1" fillId="9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94"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0" borderId="0"/>
    <xf numFmtId="0" fontId="1" fillId="59" borderId="68" applyNumberFormat="0" applyFont="0" applyAlignment="0" applyProtection="0"/>
    <xf numFmtId="0" fontId="1" fillId="59" borderId="68" applyNumberFormat="0" applyFont="0" applyAlignment="0" applyProtection="0"/>
    <xf numFmtId="0" fontId="1" fillId="0" borderId="0"/>
    <xf numFmtId="0" fontId="1" fillId="0" borderId="0"/>
    <xf numFmtId="0" fontId="1" fillId="59" borderId="6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91" borderId="0" applyNumberFormat="0" applyBorder="0" applyAlignment="0" applyProtection="0"/>
    <xf numFmtId="0" fontId="1" fillId="92" borderId="0" applyNumberFormat="0" applyBorder="0" applyAlignment="0" applyProtection="0"/>
    <xf numFmtId="0" fontId="1" fillId="93" borderId="0" applyNumberFormat="0" applyBorder="0" applyAlignment="0" applyProtection="0"/>
    <xf numFmtId="0" fontId="1" fillId="9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94"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59" borderId="68" applyNumberFormat="0" applyFont="0" applyAlignment="0" applyProtection="0"/>
    <xf numFmtId="0" fontId="1" fillId="59" borderId="68" applyNumberFormat="0" applyFont="0" applyAlignment="0" applyProtection="0"/>
    <xf numFmtId="0" fontId="1" fillId="59" borderId="68" applyNumberFormat="0" applyFont="0" applyAlignment="0" applyProtection="0"/>
    <xf numFmtId="0" fontId="1" fillId="0" borderId="0"/>
    <xf numFmtId="0" fontId="1" fillId="0" borderId="0"/>
    <xf numFmtId="0" fontId="1" fillId="0" borderId="0"/>
    <xf numFmtId="0" fontId="1" fillId="0" borderId="0"/>
    <xf numFmtId="0" fontId="1" fillId="91" borderId="0" applyNumberFormat="0" applyBorder="0" applyAlignment="0" applyProtection="0"/>
    <xf numFmtId="0" fontId="1" fillId="92" borderId="0" applyNumberFormat="0" applyBorder="0" applyAlignment="0" applyProtection="0"/>
    <xf numFmtId="0" fontId="1" fillId="93" borderId="0" applyNumberFormat="0" applyBorder="0" applyAlignment="0" applyProtection="0"/>
    <xf numFmtId="0" fontId="1" fillId="9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94"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0" borderId="0"/>
    <xf numFmtId="0" fontId="1" fillId="59" borderId="68" applyNumberFormat="0" applyFont="0" applyAlignment="0" applyProtection="0"/>
    <xf numFmtId="0" fontId="1" fillId="59" borderId="68" applyNumberFormat="0" applyFont="0" applyAlignment="0" applyProtection="0"/>
    <xf numFmtId="0" fontId="1" fillId="0" borderId="0"/>
    <xf numFmtId="0" fontId="1" fillId="0" borderId="0"/>
    <xf numFmtId="0" fontId="1" fillId="59" borderId="6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170" fontId="1" fillId="0" borderId="0"/>
    <xf numFmtId="170" fontId="1" fillId="0" borderId="0"/>
    <xf numFmtId="170" fontId="1" fillId="91" borderId="0" applyNumberFormat="0" applyBorder="0" applyAlignment="0" applyProtection="0"/>
    <xf numFmtId="170" fontId="1" fillId="92" borderId="0" applyNumberFormat="0" applyBorder="0" applyAlignment="0" applyProtection="0"/>
    <xf numFmtId="170" fontId="1" fillId="93" borderId="0" applyNumberFormat="0" applyBorder="0" applyAlignment="0" applyProtection="0"/>
    <xf numFmtId="170" fontId="1" fillId="96" borderId="0" applyNumberFormat="0" applyBorder="0" applyAlignment="0" applyProtection="0"/>
    <xf numFmtId="170" fontId="1" fillId="37" borderId="0" applyNumberFormat="0" applyBorder="0" applyAlignment="0" applyProtection="0"/>
    <xf numFmtId="170" fontId="1" fillId="38" borderId="0" applyNumberFormat="0" applyBorder="0" applyAlignment="0" applyProtection="0"/>
    <xf numFmtId="170" fontId="1" fillId="39" borderId="0" applyNumberFormat="0" applyBorder="0" applyAlignment="0" applyProtection="0"/>
    <xf numFmtId="170" fontId="1" fillId="40" borderId="0" applyNumberFormat="0" applyBorder="0" applyAlignment="0" applyProtection="0"/>
    <xf numFmtId="170" fontId="1" fillId="94" borderId="0" applyNumberFormat="0" applyBorder="0" applyAlignment="0" applyProtection="0"/>
    <xf numFmtId="170" fontId="1" fillId="41" borderId="0" applyNumberFormat="0" applyBorder="0" applyAlignment="0" applyProtection="0"/>
    <xf numFmtId="170" fontId="1" fillId="42" borderId="0" applyNumberFormat="0" applyBorder="0" applyAlignment="0" applyProtection="0"/>
    <xf numFmtId="170" fontId="1" fillId="43" borderId="0" applyNumberFormat="0" applyBorder="0" applyAlignment="0" applyProtection="0"/>
    <xf numFmtId="170" fontId="1" fillId="0" borderId="0"/>
    <xf numFmtId="170" fontId="1" fillId="59" borderId="68" applyNumberFormat="0" applyFont="0" applyAlignment="0" applyProtection="0"/>
    <xf numFmtId="170" fontId="1" fillId="59" borderId="68" applyNumberFormat="0" applyFont="0" applyAlignment="0" applyProtection="0"/>
    <xf numFmtId="170" fontId="1" fillId="0" borderId="0"/>
    <xf numFmtId="170" fontId="1" fillId="0" borderId="0"/>
    <xf numFmtId="170" fontId="1" fillId="59" borderId="68" applyNumberFormat="0" applyFont="0" applyAlignment="0" applyProtection="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1" borderId="0" applyNumberFormat="0" applyBorder="0" applyAlignment="0" applyProtection="0"/>
    <xf numFmtId="0" fontId="1" fillId="92" borderId="0" applyNumberFormat="0" applyBorder="0" applyAlignment="0" applyProtection="0"/>
    <xf numFmtId="0" fontId="1" fillId="93" borderId="0" applyNumberFormat="0" applyBorder="0" applyAlignment="0" applyProtection="0"/>
    <xf numFmtId="0" fontId="1" fillId="9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94"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0" borderId="0"/>
    <xf numFmtId="0" fontId="1" fillId="59" borderId="68" applyNumberFormat="0" applyFont="0" applyAlignment="0" applyProtection="0"/>
    <xf numFmtId="0" fontId="1" fillId="59" borderId="68" applyNumberFormat="0" applyFont="0" applyAlignment="0" applyProtection="0"/>
    <xf numFmtId="0" fontId="1" fillId="0" borderId="0"/>
    <xf numFmtId="0" fontId="1" fillId="0" borderId="0"/>
    <xf numFmtId="0" fontId="1" fillId="59" borderId="6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91" borderId="0" applyNumberFormat="0" applyBorder="0" applyAlignment="0" applyProtection="0"/>
    <xf numFmtId="0" fontId="1" fillId="92" borderId="0" applyNumberFormat="0" applyBorder="0" applyAlignment="0" applyProtection="0"/>
    <xf numFmtId="0" fontId="1" fillId="93" borderId="0" applyNumberFormat="0" applyBorder="0" applyAlignment="0" applyProtection="0"/>
    <xf numFmtId="0" fontId="1" fillId="9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94"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59" borderId="68" applyNumberFormat="0" applyFont="0" applyAlignment="0" applyProtection="0"/>
    <xf numFmtId="0" fontId="1" fillId="59" borderId="68" applyNumberFormat="0" applyFont="0" applyAlignment="0" applyProtection="0"/>
    <xf numFmtId="0" fontId="1" fillId="59" borderId="68" applyNumberFormat="0" applyFont="0" applyAlignment="0" applyProtection="0"/>
    <xf numFmtId="0" fontId="1" fillId="0" borderId="0"/>
    <xf numFmtId="0" fontId="1" fillId="0" borderId="0"/>
    <xf numFmtId="0" fontId="1" fillId="0" borderId="0"/>
    <xf numFmtId="0" fontId="14" fillId="0" borderId="0"/>
    <xf numFmtId="0" fontId="1" fillId="0" borderId="0"/>
    <xf numFmtId="0" fontId="1" fillId="91" borderId="0" applyNumberFormat="0" applyBorder="0" applyAlignment="0" applyProtection="0"/>
    <xf numFmtId="0" fontId="1" fillId="92" borderId="0" applyNumberFormat="0" applyBorder="0" applyAlignment="0" applyProtection="0"/>
    <xf numFmtId="0" fontId="1" fillId="93" borderId="0" applyNumberFormat="0" applyBorder="0" applyAlignment="0" applyProtection="0"/>
    <xf numFmtId="0" fontId="1" fillId="9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94"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0" borderId="0"/>
    <xf numFmtId="0" fontId="1" fillId="59" borderId="68" applyNumberFormat="0" applyFont="0" applyAlignment="0" applyProtection="0"/>
    <xf numFmtId="0" fontId="1" fillId="59" borderId="68" applyNumberFormat="0" applyFont="0" applyAlignment="0" applyProtection="0"/>
    <xf numFmtId="0" fontId="1" fillId="0" borderId="0"/>
    <xf numFmtId="0" fontId="1" fillId="0" borderId="0"/>
    <xf numFmtId="0" fontId="1" fillId="59" borderId="6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170" fontId="1" fillId="0" borderId="0"/>
    <xf numFmtId="170" fontId="1" fillId="0" borderId="0"/>
    <xf numFmtId="170" fontId="1" fillId="91" borderId="0" applyNumberFormat="0" applyBorder="0" applyAlignment="0" applyProtection="0"/>
    <xf numFmtId="170" fontId="1" fillId="92" borderId="0" applyNumberFormat="0" applyBorder="0" applyAlignment="0" applyProtection="0"/>
    <xf numFmtId="170" fontId="1" fillId="93" borderId="0" applyNumberFormat="0" applyBorder="0" applyAlignment="0" applyProtection="0"/>
    <xf numFmtId="170" fontId="1" fillId="96" borderId="0" applyNumberFormat="0" applyBorder="0" applyAlignment="0" applyProtection="0"/>
    <xf numFmtId="170" fontId="1" fillId="37" borderId="0" applyNumberFormat="0" applyBorder="0" applyAlignment="0" applyProtection="0"/>
    <xf numFmtId="170" fontId="1" fillId="38" borderId="0" applyNumberFormat="0" applyBorder="0" applyAlignment="0" applyProtection="0"/>
    <xf numFmtId="170" fontId="1" fillId="39" borderId="0" applyNumberFormat="0" applyBorder="0" applyAlignment="0" applyProtection="0"/>
    <xf numFmtId="170" fontId="1" fillId="40" borderId="0" applyNumberFormat="0" applyBorder="0" applyAlignment="0" applyProtection="0"/>
    <xf numFmtId="170" fontId="1" fillId="94" borderId="0" applyNumberFormat="0" applyBorder="0" applyAlignment="0" applyProtection="0"/>
    <xf numFmtId="170" fontId="1" fillId="41" borderId="0" applyNumberFormat="0" applyBorder="0" applyAlignment="0" applyProtection="0"/>
    <xf numFmtId="170" fontId="1" fillId="42" borderId="0" applyNumberFormat="0" applyBorder="0" applyAlignment="0" applyProtection="0"/>
    <xf numFmtId="170" fontId="1" fillId="43" borderId="0" applyNumberFormat="0" applyBorder="0" applyAlignment="0" applyProtection="0"/>
    <xf numFmtId="170" fontId="1" fillId="0" borderId="0"/>
    <xf numFmtId="170" fontId="1" fillId="59" borderId="68" applyNumberFormat="0" applyFont="0" applyAlignment="0" applyProtection="0"/>
    <xf numFmtId="170" fontId="1" fillId="59" borderId="68" applyNumberFormat="0" applyFont="0" applyAlignment="0" applyProtection="0"/>
    <xf numFmtId="170" fontId="1" fillId="0" borderId="0"/>
    <xf numFmtId="170" fontId="1" fillId="0" borderId="0"/>
    <xf numFmtId="170" fontId="1" fillId="59" borderId="68" applyNumberFormat="0" applyFont="0" applyAlignment="0" applyProtection="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1" borderId="0" applyNumberFormat="0" applyBorder="0" applyAlignment="0" applyProtection="0"/>
    <xf numFmtId="0" fontId="1" fillId="92" borderId="0" applyNumberFormat="0" applyBorder="0" applyAlignment="0" applyProtection="0"/>
    <xf numFmtId="0" fontId="1" fillId="93" borderId="0" applyNumberFormat="0" applyBorder="0" applyAlignment="0" applyProtection="0"/>
    <xf numFmtId="0" fontId="1" fillId="9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94"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0" borderId="0"/>
    <xf numFmtId="0" fontId="1" fillId="59" borderId="68" applyNumberFormat="0" applyFont="0" applyAlignment="0" applyProtection="0"/>
    <xf numFmtId="0" fontId="1" fillId="59" borderId="68" applyNumberFormat="0" applyFont="0" applyAlignment="0" applyProtection="0"/>
    <xf numFmtId="0" fontId="1" fillId="0" borderId="0"/>
    <xf numFmtId="0" fontId="1" fillId="0" borderId="0"/>
    <xf numFmtId="0" fontId="1" fillId="59" borderId="6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91" borderId="0" applyNumberFormat="0" applyBorder="0" applyAlignment="0" applyProtection="0"/>
    <xf numFmtId="0" fontId="1" fillId="92" borderId="0" applyNumberFormat="0" applyBorder="0" applyAlignment="0" applyProtection="0"/>
    <xf numFmtId="0" fontId="1" fillId="93" borderId="0" applyNumberFormat="0" applyBorder="0" applyAlignment="0" applyProtection="0"/>
    <xf numFmtId="0" fontId="1" fillId="9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94"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59" borderId="68" applyNumberFormat="0" applyFont="0" applyAlignment="0" applyProtection="0"/>
    <xf numFmtId="0" fontId="1" fillId="59" borderId="68" applyNumberFormat="0" applyFont="0" applyAlignment="0" applyProtection="0"/>
    <xf numFmtId="0" fontId="1" fillId="59" borderId="68" applyNumberFormat="0" applyFont="0" applyAlignment="0" applyProtection="0"/>
    <xf numFmtId="0" fontId="1" fillId="0" borderId="0"/>
    <xf numFmtId="0" fontId="1" fillId="0" borderId="0"/>
    <xf numFmtId="0" fontId="1" fillId="0" borderId="0"/>
    <xf numFmtId="0" fontId="1" fillId="0" borderId="0"/>
    <xf numFmtId="0" fontId="1" fillId="91" borderId="0" applyNumberFormat="0" applyBorder="0" applyAlignment="0" applyProtection="0"/>
    <xf numFmtId="0" fontId="1" fillId="92" borderId="0" applyNumberFormat="0" applyBorder="0" applyAlignment="0" applyProtection="0"/>
    <xf numFmtId="0" fontId="1" fillId="93" borderId="0" applyNumberFormat="0" applyBorder="0" applyAlignment="0" applyProtection="0"/>
    <xf numFmtId="0" fontId="1" fillId="9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94"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0" borderId="0"/>
    <xf numFmtId="0" fontId="1" fillId="59" borderId="68" applyNumberFormat="0" applyFont="0" applyAlignment="0" applyProtection="0"/>
    <xf numFmtId="0" fontId="1" fillId="59" borderId="68" applyNumberFormat="0" applyFont="0" applyAlignment="0" applyProtection="0"/>
    <xf numFmtId="0" fontId="1" fillId="0" borderId="0"/>
    <xf numFmtId="0" fontId="1" fillId="0" borderId="0"/>
    <xf numFmtId="0" fontId="1" fillId="59" borderId="6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170" fontId="1" fillId="0" borderId="0"/>
    <xf numFmtId="170" fontId="1" fillId="0" borderId="0"/>
    <xf numFmtId="170" fontId="1" fillId="91" borderId="0" applyNumberFormat="0" applyBorder="0" applyAlignment="0" applyProtection="0"/>
    <xf numFmtId="170" fontId="1" fillId="92" borderId="0" applyNumberFormat="0" applyBorder="0" applyAlignment="0" applyProtection="0"/>
    <xf numFmtId="170" fontId="1" fillId="93" borderId="0" applyNumberFormat="0" applyBorder="0" applyAlignment="0" applyProtection="0"/>
    <xf numFmtId="170" fontId="1" fillId="96" borderId="0" applyNumberFormat="0" applyBorder="0" applyAlignment="0" applyProtection="0"/>
    <xf numFmtId="170" fontId="1" fillId="37" borderId="0" applyNumberFormat="0" applyBorder="0" applyAlignment="0" applyProtection="0"/>
    <xf numFmtId="170" fontId="1" fillId="38" borderId="0" applyNumberFormat="0" applyBorder="0" applyAlignment="0" applyProtection="0"/>
    <xf numFmtId="170" fontId="1" fillId="39" borderId="0" applyNumberFormat="0" applyBorder="0" applyAlignment="0" applyProtection="0"/>
    <xf numFmtId="170" fontId="1" fillId="40" borderId="0" applyNumberFormat="0" applyBorder="0" applyAlignment="0" applyProtection="0"/>
    <xf numFmtId="170" fontId="1" fillId="94" borderId="0" applyNumberFormat="0" applyBorder="0" applyAlignment="0" applyProtection="0"/>
    <xf numFmtId="170" fontId="1" fillId="41" borderId="0" applyNumberFormat="0" applyBorder="0" applyAlignment="0" applyProtection="0"/>
    <xf numFmtId="170" fontId="1" fillId="42" borderId="0" applyNumberFormat="0" applyBorder="0" applyAlignment="0" applyProtection="0"/>
    <xf numFmtId="170" fontId="1" fillId="43" borderId="0" applyNumberFormat="0" applyBorder="0" applyAlignment="0" applyProtection="0"/>
    <xf numFmtId="170" fontId="1" fillId="0" borderId="0"/>
    <xf numFmtId="170" fontId="1" fillId="59" borderId="68" applyNumberFormat="0" applyFont="0" applyAlignment="0" applyProtection="0"/>
    <xf numFmtId="170" fontId="1" fillId="59" borderId="68" applyNumberFormat="0" applyFont="0" applyAlignment="0" applyProtection="0"/>
    <xf numFmtId="170" fontId="1" fillId="0" borderId="0"/>
    <xf numFmtId="170" fontId="1" fillId="0" borderId="0"/>
    <xf numFmtId="170" fontId="1" fillId="59" borderId="68" applyNumberFormat="0" applyFont="0" applyAlignment="0" applyProtection="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1" borderId="0" applyNumberFormat="0" applyBorder="0" applyAlignment="0" applyProtection="0"/>
    <xf numFmtId="0" fontId="1" fillId="92" borderId="0" applyNumberFormat="0" applyBorder="0" applyAlignment="0" applyProtection="0"/>
    <xf numFmtId="0" fontId="1" fillId="93" borderId="0" applyNumberFormat="0" applyBorder="0" applyAlignment="0" applyProtection="0"/>
    <xf numFmtId="0" fontId="1" fillId="9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94"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0" borderId="0"/>
    <xf numFmtId="0" fontId="1" fillId="59" borderId="68" applyNumberFormat="0" applyFont="0" applyAlignment="0" applyProtection="0"/>
    <xf numFmtId="0" fontId="1" fillId="59" borderId="68" applyNumberFormat="0" applyFont="0" applyAlignment="0" applyProtection="0"/>
    <xf numFmtId="0" fontId="1" fillId="0" borderId="0"/>
    <xf numFmtId="0" fontId="1" fillId="0" borderId="0"/>
    <xf numFmtId="0" fontId="1" fillId="59" borderId="6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91" borderId="0" applyNumberFormat="0" applyBorder="0" applyAlignment="0" applyProtection="0"/>
    <xf numFmtId="0" fontId="1" fillId="92" borderId="0" applyNumberFormat="0" applyBorder="0" applyAlignment="0" applyProtection="0"/>
    <xf numFmtId="0" fontId="1" fillId="93" borderId="0" applyNumberFormat="0" applyBorder="0" applyAlignment="0" applyProtection="0"/>
    <xf numFmtId="0" fontId="1" fillId="9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94"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59" borderId="68" applyNumberFormat="0" applyFont="0" applyAlignment="0" applyProtection="0"/>
    <xf numFmtId="0" fontId="1" fillId="59" borderId="68" applyNumberFormat="0" applyFont="0" applyAlignment="0" applyProtection="0"/>
    <xf numFmtId="0" fontId="1" fillId="59" borderId="68" applyNumberFormat="0" applyFont="0" applyAlignment="0" applyProtection="0"/>
    <xf numFmtId="0" fontId="1" fillId="0" borderId="0"/>
    <xf numFmtId="0" fontId="1" fillId="0" borderId="0"/>
    <xf numFmtId="0" fontId="14" fillId="0" borderId="0"/>
    <xf numFmtId="0" fontId="1" fillId="0" borderId="0"/>
    <xf numFmtId="0" fontId="1" fillId="0" borderId="0"/>
    <xf numFmtId="0" fontId="1" fillId="91" borderId="0" applyNumberFormat="0" applyBorder="0" applyAlignment="0" applyProtection="0"/>
    <xf numFmtId="0" fontId="1" fillId="92" borderId="0" applyNumberFormat="0" applyBorder="0" applyAlignment="0" applyProtection="0"/>
    <xf numFmtId="0" fontId="1" fillId="93" borderId="0" applyNumberFormat="0" applyBorder="0" applyAlignment="0" applyProtection="0"/>
    <xf numFmtId="0" fontId="1" fillId="9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94"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0" borderId="0"/>
    <xf numFmtId="0" fontId="1" fillId="59" borderId="68" applyNumberFormat="0" applyFont="0" applyAlignment="0" applyProtection="0"/>
    <xf numFmtId="0" fontId="1" fillId="59" borderId="68" applyNumberFormat="0" applyFont="0" applyAlignment="0" applyProtection="0"/>
    <xf numFmtId="0" fontId="1" fillId="0" borderId="0"/>
    <xf numFmtId="0" fontId="1" fillId="0" borderId="0"/>
    <xf numFmtId="0" fontId="1" fillId="59" borderId="6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170" fontId="1" fillId="0" borderId="0"/>
    <xf numFmtId="170" fontId="1" fillId="0" borderId="0"/>
    <xf numFmtId="170" fontId="1" fillId="91" borderId="0" applyNumberFormat="0" applyBorder="0" applyAlignment="0" applyProtection="0"/>
    <xf numFmtId="170" fontId="1" fillId="92" borderId="0" applyNumberFormat="0" applyBorder="0" applyAlignment="0" applyProtection="0"/>
    <xf numFmtId="170" fontId="1" fillId="93" borderId="0" applyNumberFormat="0" applyBorder="0" applyAlignment="0" applyProtection="0"/>
    <xf numFmtId="170" fontId="1" fillId="96" borderId="0" applyNumberFormat="0" applyBorder="0" applyAlignment="0" applyProtection="0"/>
    <xf numFmtId="170" fontId="1" fillId="37" borderId="0" applyNumberFormat="0" applyBorder="0" applyAlignment="0" applyProtection="0"/>
    <xf numFmtId="170" fontId="1" fillId="38" borderId="0" applyNumberFormat="0" applyBorder="0" applyAlignment="0" applyProtection="0"/>
    <xf numFmtId="170" fontId="1" fillId="39" borderId="0" applyNumberFormat="0" applyBorder="0" applyAlignment="0" applyProtection="0"/>
    <xf numFmtId="170" fontId="1" fillId="40" borderId="0" applyNumberFormat="0" applyBorder="0" applyAlignment="0" applyProtection="0"/>
    <xf numFmtId="170" fontId="1" fillId="94" borderId="0" applyNumberFormat="0" applyBorder="0" applyAlignment="0" applyProtection="0"/>
    <xf numFmtId="170" fontId="1" fillId="41" borderId="0" applyNumberFormat="0" applyBorder="0" applyAlignment="0" applyProtection="0"/>
    <xf numFmtId="170" fontId="1" fillId="42" borderId="0" applyNumberFormat="0" applyBorder="0" applyAlignment="0" applyProtection="0"/>
    <xf numFmtId="170" fontId="1" fillId="43" borderId="0" applyNumberFormat="0" applyBorder="0" applyAlignment="0" applyProtection="0"/>
    <xf numFmtId="170" fontId="1" fillId="0" borderId="0"/>
    <xf numFmtId="170" fontId="1" fillId="59" borderId="68" applyNumberFormat="0" applyFont="0" applyAlignment="0" applyProtection="0"/>
    <xf numFmtId="170" fontId="1" fillId="59" borderId="68" applyNumberFormat="0" applyFont="0" applyAlignment="0" applyProtection="0"/>
    <xf numFmtId="170" fontId="1" fillId="0" borderId="0"/>
    <xf numFmtId="170" fontId="1" fillId="0" borderId="0"/>
    <xf numFmtId="170" fontId="1" fillId="59" borderId="68" applyNumberFormat="0" applyFont="0" applyAlignment="0" applyProtection="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1" borderId="0" applyNumberFormat="0" applyBorder="0" applyAlignment="0" applyProtection="0"/>
    <xf numFmtId="0" fontId="1" fillId="92" borderId="0" applyNumberFormat="0" applyBorder="0" applyAlignment="0" applyProtection="0"/>
    <xf numFmtId="0" fontId="1" fillId="93" borderId="0" applyNumberFormat="0" applyBorder="0" applyAlignment="0" applyProtection="0"/>
    <xf numFmtId="0" fontId="1" fillId="9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94"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0" borderId="0"/>
    <xf numFmtId="0" fontId="1" fillId="59" borderId="68" applyNumberFormat="0" applyFont="0" applyAlignment="0" applyProtection="0"/>
    <xf numFmtId="0" fontId="1" fillId="59" borderId="68" applyNumberFormat="0" applyFont="0" applyAlignment="0" applyProtection="0"/>
    <xf numFmtId="0" fontId="1" fillId="0" borderId="0"/>
    <xf numFmtId="0" fontId="1" fillId="0" borderId="0"/>
    <xf numFmtId="0" fontId="1" fillId="59" borderId="6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91" borderId="0" applyNumberFormat="0" applyBorder="0" applyAlignment="0" applyProtection="0"/>
    <xf numFmtId="0" fontId="1" fillId="92" borderId="0" applyNumberFormat="0" applyBorder="0" applyAlignment="0" applyProtection="0"/>
    <xf numFmtId="0" fontId="1" fillId="93" borderId="0" applyNumberFormat="0" applyBorder="0" applyAlignment="0" applyProtection="0"/>
    <xf numFmtId="0" fontId="1" fillId="9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94"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59" borderId="68" applyNumberFormat="0" applyFont="0" applyAlignment="0" applyProtection="0"/>
    <xf numFmtId="0" fontId="1" fillId="59" borderId="68" applyNumberFormat="0" applyFont="0" applyAlignment="0" applyProtection="0"/>
    <xf numFmtId="0" fontId="1" fillId="59" borderId="68" applyNumberFormat="0" applyFont="0" applyAlignment="0" applyProtection="0"/>
    <xf numFmtId="0" fontId="1" fillId="0" borderId="0"/>
    <xf numFmtId="0" fontId="1" fillId="0" borderId="0"/>
    <xf numFmtId="0" fontId="1" fillId="0" borderId="0"/>
    <xf numFmtId="0" fontId="1" fillId="0" borderId="0"/>
    <xf numFmtId="0" fontId="1" fillId="91" borderId="0" applyNumberFormat="0" applyBorder="0" applyAlignment="0" applyProtection="0"/>
    <xf numFmtId="0" fontId="1" fillId="92" borderId="0" applyNumberFormat="0" applyBorder="0" applyAlignment="0" applyProtection="0"/>
    <xf numFmtId="0" fontId="1" fillId="93" borderId="0" applyNumberFormat="0" applyBorder="0" applyAlignment="0" applyProtection="0"/>
    <xf numFmtId="0" fontId="1" fillId="9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94"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0" borderId="0"/>
    <xf numFmtId="0" fontId="1" fillId="59" borderId="68" applyNumberFormat="0" applyFont="0" applyAlignment="0" applyProtection="0"/>
    <xf numFmtId="0" fontId="1" fillId="59" borderId="68" applyNumberFormat="0" applyFont="0" applyAlignment="0" applyProtection="0"/>
    <xf numFmtId="0" fontId="1" fillId="0" borderId="0"/>
    <xf numFmtId="0" fontId="1" fillId="0" borderId="0"/>
    <xf numFmtId="0" fontId="1" fillId="59" borderId="6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170" fontId="1" fillId="0" borderId="0"/>
    <xf numFmtId="170" fontId="1" fillId="0" borderId="0"/>
    <xf numFmtId="170" fontId="1" fillId="91" borderId="0" applyNumberFormat="0" applyBorder="0" applyAlignment="0" applyProtection="0"/>
    <xf numFmtId="170" fontId="1" fillId="92" borderId="0" applyNumberFormat="0" applyBorder="0" applyAlignment="0" applyProtection="0"/>
    <xf numFmtId="170" fontId="1" fillId="93" borderId="0" applyNumberFormat="0" applyBorder="0" applyAlignment="0" applyProtection="0"/>
    <xf numFmtId="170" fontId="1" fillId="96" borderId="0" applyNumberFormat="0" applyBorder="0" applyAlignment="0" applyProtection="0"/>
    <xf numFmtId="170" fontId="1" fillId="37" borderId="0" applyNumberFormat="0" applyBorder="0" applyAlignment="0" applyProtection="0"/>
    <xf numFmtId="170" fontId="1" fillId="38" borderId="0" applyNumberFormat="0" applyBorder="0" applyAlignment="0" applyProtection="0"/>
    <xf numFmtId="170" fontId="1" fillId="39" borderId="0" applyNumberFormat="0" applyBorder="0" applyAlignment="0" applyProtection="0"/>
    <xf numFmtId="170" fontId="1" fillId="40" borderId="0" applyNumberFormat="0" applyBorder="0" applyAlignment="0" applyProtection="0"/>
    <xf numFmtId="170" fontId="1" fillId="94" borderId="0" applyNumberFormat="0" applyBorder="0" applyAlignment="0" applyProtection="0"/>
    <xf numFmtId="170" fontId="1" fillId="41" borderId="0" applyNumberFormat="0" applyBorder="0" applyAlignment="0" applyProtection="0"/>
    <xf numFmtId="170" fontId="1" fillId="42" borderId="0" applyNumberFormat="0" applyBorder="0" applyAlignment="0" applyProtection="0"/>
    <xf numFmtId="170" fontId="1" fillId="43" borderId="0" applyNumberFormat="0" applyBorder="0" applyAlignment="0" applyProtection="0"/>
    <xf numFmtId="170" fontId="1" fillId="0" borderId="0"/>
    <xf numFmtId="170" fontId="1" fillId="59" borderId="68" applyNumberFormat="0" applyFont="0" applyAlignment="0" applyProtection="0"/>
    <xf numFmtId="170" fontId="1" fillId="59" borderId="68" applyNumberFormat="0" applyFont="0" applyAlignment="0" applyProtection="0"/>
    <xf numFmtId="170" fontId="1" fillId="0" borderId="0"/>
    <xf numFmtId="170" fontId="1" fillId="0" borderId="0"/>
    <xf numFmtId="170" fontId="1" fillId="59" borderId="68" applyNumberFormat="0" applyFont="0" applyAlignment="0" applyProtection="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1" borderId="0" applyNumberFormat="0" applyBorder="0" applyAlignment="0" applyProtection="0"/>
    <xf numFmtId="0" fontId="1" fillId="92" borderId="0" applyNumberFormat="0" applyBorder="0" applyAlignment="0" applyProtection="0"/>
    <xf numFmtId="0" fontId="1" fillId="93" borderId="0" applyNumberFormat="0" applyBorder="0" applyAlignment="0" applyProtection="0"/>
    <xf numFmtId="0" fontId="1" fillId="9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94"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0" borderId="0"/>
    <xf numFmtId="0" fontId="1" fillId="59" borderId="68" applyNumberFormat="0" applyFont="0" applyAlignment="0" applyProtection="0"/>
    <xf numFmtId="0" fontId="1" fillId="59" borderId="68" applyNumberFormat="0" applyFont="0" applyAlignment="0" applyProtection="0"/>
    <xf numFmtId="0" fontId="1" fillId="0" borderId="0"/>
    <xf numFmtId="0" fontId="1" fillId="0" borderId="0"/>
    <xf numFmtId="0" fontId="1" fillId="59" borderId="6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91" borderId="0" applyNumberFormat="0" applyBorder="0" applyAlignment="0" applyProtection="0"/>
    <xf numFmtId="0" fontId="1" fillId="92" borderId="0" applyNumberFormat="0" applyBorder="0" applyAlignment="0" applyProtection="0"/>
    <xf numFmtId="0" fontId="1" fillId="93" borderId="0" applyNumberFormat="0" applyBorder="0" applyAlignment="0" applyProtection="0"/>
    <xf numFmtId="0" fontId="1" fillId="9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94"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59" borderId="68" applyNumberFormat="0" applyFont="0" applyAlignment="0" applyProtection="0"/>
    <xf numFmtId="0" fontId="1" fillId="59" borderId="68" applyNumberFormat="0" applyFont="0" applyAlignment="0" applyProtection="0"/>
    <xf numFmtId="0" fontId="1" fillId="59" borderId="68" applyNumberFormat="0" applyFont="0" applyAlignment="0" applyProtection="0"/>
    <xf numFmtId="0" fontId="1" fillId="0" borderId="0"/>
    <xf numFmtId="0" fontId="1" fillId="0" borderId="0"/>
    <xf numFmtId="0" fontId="1" fillId="0" borderId="0"/>
    <xf numFmtId="0" fontId="1" fillId="0" borderId="0"/>
    <xf numFmtId="0" fontId="1" fillId="91" borderId="0" applyNumberFormat="0" applyBorder="0" applyAlignment="0" applyProtection="0"/>
    <xf numFmtId="0" fontId="1" fillId="92" borderId="0" applyNumberFormat="0" applyBorder="0" applyAlignment="0" applyProtection="0"/>
    <xf numFmtId="0" fontId="1" fillId="93" borderId="0" applyNumberFormat="0" applyBorder="0" applyAlignment="0" applyProtection="0"/>
    <xf numFmtId="0" fontId="1" fillId="9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94"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0" borderId="0"/>
    <xf numFmtId="0" fontId="1" fillId="59" borderId="68" applyNumberFormat="0" applyFont="0" applyAlignment="0" applyProtection="0"/>
    <xf numFmtId="0" fontId="1" fillId="59" borderId="68" applyNumberFormat="0" applyFont="0" applyAlignment="0" applyProtection="0"/>
    <xf numFmtId="0" fontId="1" fillId="0" borderId="0"/>
    <xf numFmtId="0" fontId="1" fillId="0" borderId="0"/>
    <xf numFmtId="0" fontId="1" fillId="59" borderId="6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170" fontId="1" fillId="0" borderId="0"/>
    <xf numFmtId="170" fontId="1" fillId="0" borderId="0"/>
    <xf numFmtId="170" fontId="1" fillId="91" borderId="0" applyNumberFormat="0" applyBorder="0" applyAlignment="0" applyProtection="0"/>
    <xf numFmtId="170" fontId="1" fillId="92" borderId="0" applyNumberFormat="0" applyBorder="0" applyAlignment="0" applyProtection="0"/>
    <xf numFmtId="170" fontId="1" fillId="93" borderId="0" applyNumberFormat="0" applyBorder="0" applyAlignment="0" applyProtection="0"/>
    <xf numFmtId="170" fontId="1" fillId="96" borderId="0" applyNumberFormat="0" applyBorder="0" applyAlignment="0" applyProtection="0"/>
    <xf numFmtId="170" fontId="1" fillId="37" borderId="0" applyNumberFormat="0" applyBorder="0" applyAlignment="0" applyProtection="0"/>
    <xf numFmtId="170" fontId="1" fillId="38" borderId="0" applyNumberFormat="0" applyBorder="0" applyAlignment="0" applyProtection="0"/>
    <xf numFmtId="170" fontId="1" fillId="39" borderId="0" applyNumberFormat="0" applyBorder="0" applyAlignment="0" applyProtection="0"/>
    <xf numFmtId="170" fontId="1" fillId="40" borderId="0" applyNumberFormat="0" applyBorder="0" applyAlignment="0" applyProtection="0"/>
    <xf numFmtId="170" fontId="1" fillId="94" borderId="0" applyNumberFormat="0" applyBorder="0" applyAlignment="0" applyProtection="0"/>
    <xf numFmtId="170" fontId="1" fillId="41" borderId="0" applyNumberFormat="0" applyBorder="0" applyAlignment="0" applyProtection="0"/>
    <xf numFmtId="170" fontId="1" fillId="42" borderId="0" applyNumberFormat="0" applyBorder="0" applyAlignment="0" applyProtection="0"/>
    <xf numFmtId="170" fontId="1" fillId="43" borderId="0" applyNumberFormat="0" applyBorder="0" applyAlignment="0" applyProtection="0"/>
    <xf numFmtId="170" fontId="1" fillId="0" borderId="0"/>
    <xf numFmtId="170" fontId="1" fillId="59" borderId="68" applyNumberFormat="0" applyFont="0" applyAlignment="0" applyProtection="0"/>
    <xf numFmtId="170" fontId="1" fillId="59" borderId="68" applyNumberFormat="0" applyFont="0" applyAlignment="0" applyProtection="0"/>
    <xf numFmtId="170" fontId="1" fillId="0" borderId="0"/>
    <xf numFmtId="170" fontId="1" fillId="0" borderId="0"/>
    <xf numFmtId="170" fontId="1" fillId="59" borderId="68" applyNumberFormat="0" applyFont="0" applyAlignment="0" applyProtection="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1" borderId="0" applyNumberFormat="0" applyBorder="0" applyAlignment="0" applyProtection="0"/>
    <xf numFmtId="0" fontId="1" fillId="92" borderId="0" applyNumberFormat="0" applyBorder="0" applyAlignment="0" applyProtection="0"/>
    <xf numFmtId="0" fontId="1" fillId="93" borderId="0" applyNumberFormat="0" applyBorder="0" applyAlignment="0" applyProtection="0"/>
    <xf numFmtId="0" fontId="1" fillId="9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94"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0" borderId="0"/>
    <xf numFmtId="0" fontId="1" fillId="59" borderId="68" applyNumberFormat="0" applyFont="0" applyAlignment="0" applyProtection="0"/>
    <xf numFmtId="0" fontId="1" fillId="59" borderId="68" applyNumberFormat="0" applyFont="0" applyAlignment="0" applyProtection="0"/>
    <xf numFmtId="0" fontId="1" fillId="0" borderId="0"/>
    <xf numFmtId="0" fontId="1" fillId="0" borderId="0"/>
    <xf numFmtId="0" fontId="1" fillId="59" borderId="6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91" borderId="0" applyNumberFormat="0" applyBorder="0" applyAlignment="0" applyProtection="0"/>
    <xf numFmtId="0" fontId="1" fillId="92" borderId="0" applyNumberFormat="0" applyBorder="0" applyAlignment="0" applyProtection="0"/>
    <xf numFmtId="0" fontId="1" fillId="93" borderId="0" applyNumberFormat="0" applyBorder="0" applyAlignment="0" applyProtection="0"/>
    <xf numFmtId="0" fontId="1" fillId="9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94"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59" borderId="68" applyNumberFormat="0" applyFont="0" applyAlignment="0" applyProtection="0"/>
    <xf numFmtId="0" fontId="1" fillId="59" borderId="68" applyNumberFormat="0" applyFont="0" applyAlignment="0" applyProtection="0"/>
    <xf numFmtId="0" fontId="1" fillId="59" borderId="68" applyNumberFormat="0" applyFont="0" applyAlignment="0" applyProtection="0"/>
    <xf numFmtId="0" fontId="1" fillId="0" borderId="0"/>
    <xf numFmtId="0" fontId="1" fillId="0" borderId="0"/>
    <xf numFmtId="0" fontId="1" fillId="0" borderId="0"/>
    <xf numFmtId="0" fontId="1" fillId="0" borderId="0"/>
    <xf numFmtId="0" fontId="1" fillId="91" borderId="0" applyNumberFormat="0" applyBorder="0" applyAlignment="0" applyProtection="0"/>
    <xf numFmtId="0" fontId="1" fillId="92" borderId="0" applyNumberFormat="0" applyBorder="0" applyAlignment="0" applyProtection="0"/>
    <xf numFmtId="0" fontId="1" fillId="93" borderId="0" applyNumberFormat="0" applyBorder="0" applyAlignment="0" applyProtection="0"/>
    <xf numFmtId="0" fontId="1" fillId="9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94"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0" borderId="0"/>
    <xf numFmtId="0" fontId="1" fillId="59" borderId="68" applyNumberFormat="0" applyFont="0" applyAlignment="0" applyProtection="0"/>
    <xf numFmtId="0" fontId="1" fillId="59" borderId="68" applyNumberFormat="0" applyFont="0" applyAlignment="0" applyProtection="0"/>
    <xf numFmtId="0" fontId="1" fillId="0" borderId="0"/>
    <xf numFmtId="0" fontId="1" fillId="0" borderId="0"/>
    <xf numFmtId="0" fontId="1" fillId="59" borderId="6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170" fontId="1" fillId="0" borderId="0"/>
    <xf numFmtId="170" fontId="1" fillId="0" borderId="0"/>
    <xf numFmtId="170" fontId="1" fillId="91" borderId="0" applyNumberFormat="0" applyBorder="0" applyAlignment="0" applyProtection="0"/>
    <xf numFmtId="170" fontId="1" fillId="92" borderId="0" applyNumberFormat="0" applyBorder="0" applyAlignment="0" applyProtection="0"/>
    <xf numFmtId="170" fontId="1" fillId="93" borderId="0" applyNumberFormat="0" applyBorder="0" applyAlignment="0" applyProtection="0"/>
    <xf numFmtId="170" fontId="1" fillId="96" borderId="0" applyNumberFormat="0" applyBorder="0" applyAlignment="0" applyProtection="0"/>
    <xf numFmtId="170" fontId="1" fillId="37" borderId="0" applyNumberFormat="0" applyBorder="0" applyAlignment="0" applyProtection="0"/>
    <xf numFmtId="170" fontId="1" fillId="38" borderId="0" applyNumberFormat="0" applyBorder="0" applyAlignment="0" applyProtection="0"/>
    <xf numFmtId="170" fontId="1" fillId="39" borderId="0" applyNumberFormat="0" applyBorder="0" applyAlignment="0" applyProtection="0"/>
    <xf numFmtId="170" fontId="1" fillId="40" borderId="0" applyNumberFormat="0" applyBorder="0" applyAlignment="0" applyProtection="0"/>
    <xf numFmtId="170" fontId="1" fillId="94" borderId="0" applyNumberFormat="0" applyBorder="0" applyAlignment="0" applyProtection="0"/>
    <xf numFmtId="170" fontId="1" fillId="41" borderId="0" applyNumberFormat="0" applyBorder="0" applyAlignment="0" applyProtection="0"/>
    <xf numFmtId="170" fontId="1" fillId="42" borderId="0" applyNumberFormat="0" applyBorder="0" applyAlignment="0" applyProtection="0"/>
    <xf numFmtId="170" fontId="1" fillId="43" borderId="0" applyNumberFormat="0" applyBorder="0" applyAlignment="0" applyProtection="0"/>
    <xf numFmtId="170" fontId="1" fillId="0" borderId="0"/>
    <xf numFmtId="170" fontId="1" fillId="59" borderId="68" applyNumberFormat="0" applyFont="0" applyAlignment="0" applyProtection="0"/>
    <xf numFmtId="170" fontId="1" fillId="59" borderId="68" applyNumberFormat="0" applyFont="0" applyAlignment="0" applyProtection="0"/>
    <xf numFmtId="170" fontId="1" fillId="0" borderId="0"/>
    <xf numFmtId="170" fontId="1" fillId="0" borderId="0"/>
    <xf numFmtId="170" fontId="1" fillId="59" borderId="68" applyNumberFormat="0" applyFont="0" applyAlignment="0" applyProtection="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1" borderId="0" applyNumberFormat="0" applyBorder="0" applyAlignment="0" applyProtection="0"/>
    <xf numFmtId="0" fontId="1" fillId="92" borderId="0" applyNumberFormat="0" applyBorder="0" applyAlignment="0" applyProtection="0"/>
    <xf numFmtId="0" fontId="1" fillId="93" borderId="0" applyNumberFormat="0" applyBorder="0" applyAlignment="0" applyProtection="0"/>
    <xf numFmtId="0" fontId="1" fillId="9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94"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0" borderId="0"/>
    <xf numFmtId="0" fontId="1" fillId="59" borderId="68" applyNumberFormat="0" applyFont="0" applyAlignment="0" applyProtection="0"/>
    <xf numFmtId="0" fontId="1" fillId="59" borderId="68" applyNumberFormat="0" applyFont="0" applyAlignment="0" applyProtection="0"/>
    <xf numFmtId="0" fontId="1" fillId="0" borderId="0"/>
    <xf numFmtId="0" fontId="1" fillId="0" borderId="0"/>
    <xf numFmtId="0" fontId="1" fillId="59" borderId="6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91" borderId="0" applyNumberFormat="0" applyBorder="0" applyAlignment="0" applyProtection="0"/>
    <xf numFmtId="0" fontId="1" fillId="92" borderId="0" applyNumberFormat="0" applyBorder="0" applyAlignment="0" applyProtection="0"/>
    <xf numFmtId="0" fontId="1" fillId="93" borderId="0" applyNumberFormat="0" applyBorder="0" applyAlignment="0" applyProtection="0"/>
    <xf numFmtId="0" fontId="1" fillId="9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94"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59" borderId="68" applyNumberFormat="0" applyFont="0" applyAlignment="0" applyProtection="0"/>
    <xf numFmtId="0" fontId="1" fillId="59" borderId="68" applyNumberFormat="0" applyFont="0" applyAlignment="0" applyProtection="0"/>
    <xf numFmtId="0" fontId="1" fillId="59" borderId="68" applyNumberFormat="0" applyFont="0" applyAlignment="0" applyProtection="0"/>
    <xf numFmtId="0" fontId="1" fillId="0" borderId="0"/>
    <xf numFmtId="0" fontId="1" fillId="0" borderId="0"/>
    <xf numFmtId="0" fontId="14" fillId="0" borderId="0"/>
    <xf numFmtId="0" fontId="1" fillId="0" borderId="0"/>
    <xf numFmtId="0" fontId="1" fillId="0" borderId="0"/>
    <xf numFmtId="0" fontId="1" fillId="91" borderId="0" applyNumberFormat="0" applyBorder="0" applyAlignment="0" applyProtection="0"/>
    <xf numFmtId="0" fontId="1" fillId="92" borderId="0" applyNumberFormat="0" applyBorder="0" applyAlignment="0" applyProtection="0"/>
    <xf numFmtId="0" fontId="1" fillId="93" borderId="0" applyNumberFormat="0" applyBorder="0" applyAlignment="0" applyProtection="0"/>
    <xf numFmtId="0" fontId="1" fillId="9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94"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0" borderId="0"/>
    <xf numFmtId="0" fontId="1" fillId="59" borderId="68" applyNumberFormat="0" applyFont="0" applyAlignment="0" applyProtection="0"/>
    <xf numFmtId="0" fontId="1" fillId="59" borderId="68" applyNumberFormat="0" applyFont="0" applyAlignment="0" applyProtection="0"/>
    <xf numFmtId="0" fontId="1" fillId="0" borderId="0"/>
    <xf numFmtId="0" fontId="1" fillId="0" borderId="0"/>
    <xf numFmtId="0" fontId="1" fillId="59" borderId="6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170" fontId="1" fillId="0" borderId="0"/>
    <xf numFmtId="170" fontId="1" fillId="0" borderId="0"/>
    <xf numFmtId="170" fontId="1" fillId="91" borderId="0" applyNumberFormat="0" applyBorder="0" applyAlignment="0" applyProtection="0"/>
    <xf numFmtId="170" fontId="1" fillId="92" borderId="0" applyNumberFormat="0" applyBorder="0" applyAlignment="0" applyProtection="0"/>
    <xf numFmtId="170" fontId="1" fillId="93" borderId="0" applyNumberFormat="0" applyBorder="0" applyAlignment="0" applyProtection="0"/>
    <xf numFmtId="170" fontId="1" fillId="96" borderId="0" applyNumberFormat="0" applyBorder="0" applyAlignment="0" applyProtection="0"/>
    <xf numFmtId="170" fontId="1" fillId="37" borderId="0" applyNumberFormat="0" applyBorder="0" applyAlignment="0" applyProtection="0"/>
    <xf numFmtId="170" fontId="1" fillId="38" borderId="0" applyNumberFormat="0" applyBorder="0" applyAlignment="0" applyProtection="0"/>
    <xf numFmtId="170" fontId="1" fillId="39" borderId="0" applyNumberFormat="0" applyBorder="0" applyAlignment="0" applyProtection="0"/>
    <xf numFmtId="170" fontId="1" fillId="40" borderId="0" applyNumberFormat="0" applyBorder="0" applyAlignment="0" applyProtection="0"/>
    <xf numFmtId="170" fontId="1" fillId="94" borderId="0" applyNumberFormat="0" applyBorder="0" applyAlignment="0" applyProtection="0"/>
    <xf numFmtId="170" fontId="1" fillId="41" borderId="0" applyNumberFormat="0" applyBorder="0" applyAlignment="0" applyProtection="0"/>
    <xf numFmtId="170" fontId="1" fillId="42" borderId="0" applyNumberFormat="0" applyBorder="0" applyAlignment="0" applyProtection="0"/>
    <xf numFmtId="170" fontId="1" fillId="43" borderId="0" applyNumberFormat="0" applyBorder="0" applyAlignment="0" applyProtection="0"/>
    <xf numFmtId="170" fontId="1" fillId="0" borderId="0"/>
    <xf numFmtId="170" fontId="1" fillId="59" borderId="68" applyNumberFormat="0" applyFont="0" applyAlignment="0" applyProtection="0"/>
    <xf numFmtId="170" fontId="1" fillId="59" borderId="68" applyNumberFormat="0" applyFont="0" applyAlignment="0" applyProtection="0"/>
    <xf numFmtId="170" fontId="1" fillId="0" borderId="0"/>
    <xf numFmtId="170" fontId="1" fillId="0" borderId="0"/>
    <xf numFmtId="170" fontId="1" fillId="59" borderId="68" applyNumberFormat="0" applyFont="0" applyAlignment="0" applyProtection="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1" borderId="0" applyNumberFormat="0" applyBorder="0" applyAlignment="0" applyProtection="0"/>
    <xf numFmtId="0" fontId="1" fillId="92" borderId="0" applyNumberFormat="0" applyBorder="0" applyAlignment="0" applyProtection="0"/>
    <xf numFmtId="0" fontId="1" fillId="93" borderId="0" applyNumberFormat="0" applyBorder="0" applyAlignment="0" applyProtection="0"/>
    <xf numFmtId="0" fontId="1" fillId="9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94"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0" borderId="0"/>
    <xf numFmtId="0" fontId="1" fillId="59" borderId="68" applyNumberFormat="0" applyFont="0" applyAlignment="0" applyProtection="0"/>
    <xf numFmtId="0" fontId="1" fillId="59" borderId="68" applyNumberFormat="0" applyFont="0" applyAlignment="0" applyProtection="0"/>
    <xf numFmtId="0" fontId="1" fillId="0" borderId="0"/>
    <xf numFmtId="0" fontId="1" fillId="0" borderId="0"/>
    <xf numFmtId="0" fontId="1" fillId="59" borderId="6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91" borderId="0" applyNumberFormat="0" applyBorder="0" applyAlignment="0" applyProtection="0"/>
    <xf numFmtId="0" fontId="1" fillId="92" borderId="0" applyNumberFormat="0" applyBorder="0" applyAlignment="0" applyProtection="0"/>
    <xf numFmtId="0" fontId="1" fillId="93" borderId="0" applyNumberFormat="0" applyBorder="0" applyAlignment="0" applyProtection="0"/>
    <xf numFmtId="0" fontId="1" fillId="9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94"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59" borderId="68" applyNumberFormat="0" applyFont="0" applyAlignment="0" applyProtection="0"/>
    <xf numFmtId="0" fontId="1" fillId="59" borderId="68" applyNumberFormat="0" applyFont="0" applyAlignment="0" applyProtection="0"/>
    <xf numFmtId="0" fontId="1" fillId="59" borderId="68" applyNumberFormat="0" applyFont="0" applyAlignment="0" applyProtection="0"/>
    <xf numFmtId="0" fontId="1" fillId="0" borderId="0"/>
    <xf numFmtId="0" fontId="1" fillId="0" borderId="0"/>
    <xf numFmtId="0" fontId="1" fillId="0" borderId="0"/>
    <xf numFmtId="0" fontId="1" fillId="0" borderId="0"/>
    <xf numFmtId="0" fontId="1" fillId="91" borderId="0" applyNumberFormat="0" applyBorder="0" applyAlignment="0" applyProtection="0"/>
    <xf numFmtId="0" fontId="1" fillId="92" borderId="0" applyNumberFormat="0" applyBorder="0" applyAlignment="0" applyProtection="0"/>
    <xf numFmtId="0" fontId="1" fillId="93" borderId="0" applyNumberFormat="0" applyBorder="0" applyAlignment="0" applyProtection="0"/>
    <xf numFmtId="0" fontId="1" fillId="9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94"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0" borderId="0"/>
    <xf numFmtId="0" fontId="1" fillId="59" borderId="68" applyNumberFormat="0" applyFont="0" applyAlignment="0" applyProtection="0"/>
    <xf numFmtId="0" fontId="1" fillId="59" borderId="68" applyNumberFormat="0" applyFont="0" applyAlignment="0" applyProtection="0"/>
    <xf numFmtId="0" fontId="1" fillId="0" borderId="0"/>
    <xf numFmtId="0" fontId="1" fillId="0" borderId="0"/>
    <xf numFmtId="0" fontId="1" fillId="59" borderId="6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170" fontId="1" fillId="0" borderId="0"/>
    <xf numFmtId="170" fontId="1" fillId="0" borderId="0"/>
    <xf numFmtId="170" fontId="1" fillId="91" borderId="0" applyNumberFormat="0" applyBorder="0" applyAlignment="0" applyProtection="0"/>
    <xf numFmtId="170" fontId="1" fillId="92" borderId="0" applyNumberFormat="0" applyBorder="0" applyAlignment="0" applyProtection="0"/>
    <xf numFmtId="170" fontId="1" fillId="93" borderId="0" applyNumberFormat="0" applyBorder="0" applyAlignment="0" applyProtection="0"/>
    <xf numFmtId="170" fontId="1" fillId="96" borderId="0" applyNumberFormat="0" applyBorder="0" applyAlignment="0" applyProtection="0"/>
    <xf numFmtId="170" fontId="1" fillId="37" borderId="0" applyNumberFormat="0" applyBorder="0" applyAlignment="0" applyProtection="0"/>
    <xf numFmtId="170" fontId="1" fillId="38" borderId="0" applyNumberFormat="0" applyBorder="0" applyAlignment="0" applyProtection="0"/>
    <xf numFmtId="170" fontId="1" fillId="39" borderId="0" applyNumberFormat="0" applyBorder="0" applyAlignment="0" applyProtection="0"/>
    <xf numFmtId="170" fontId="1" fillId="40" borderId="0" applyNumberFormat="0" applyBorder="0" applyAlignment="0" applyProtection="0"/>
    <xf numFmtId="170" fontId="1" fillId="94" borderId="0" applyNumberFormat="0" applyBorder="0" applyAlignment="0" applyProtection="0"/>
    <xf numFmtId="170" fontId="1" fillId="41" borderId="0" applyNumberFormat="0" applyBorder="0" applyAlignment="0" applyProtection="0"/>
    <xf numFmtId="170" fontId="1" fillId="42" borderId="0" applyNumberFormat="0" applyBorder="0" applyAlignment="0" applyProtection="0"/>
    <xf numFmtId="170" fontId="1" fillId="43" borderId="0" applyNumberFormat="0" applyBorder="0" applyAlignment="0" applyProtection="0"/>
    <xf numFmtId="170" fontId="1" fillId="0" borderId="0"/>
    <xf numFmtId="170" fontId="1" fillId="59" borderId="68" applyNumberFormat="0" applyFont="0" applyAlignment="0" applyProtection="0"/>
    <xf numFmtId="170" fontId="1" fillId="59" borderId="68" applyNumberFormat="0" applyFont="0" applyAlignment="0" applyProtection="0"/>
    <xf numFmtId="170" fontId="1" fillId="0" borderId="0"/>
    <xf numFmtId="170" fontId="1" fillId="0" borderId="0"/>
    <xf numFmtId="170" fontId="1" fillId="59" borderId="68" applyNumberFormat="0" applyFont="0" applyAlignment="0" applyProtection="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1" borderId="0" applyNumberFormat="0" applyBorder="0" applyAlignment="0" applyProtection="0"/>
    <xf numFmtId="0" fontId="1" fillId="92" borderId="0" applyNumberFormat="0" applyBorder="0" applyAlignment="0" applyProtection="0"/>
    <xf numFmtId="0" fontId="1" fillId="93" borderId="0" applyNumberFormat="0" applyBorder="0" applyAlignment="0" applyProtection="0"/>
    <xf numFmtId="0" fontId="1" fillId="9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94"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0" borderId="0"/>
    <xf numFmtId="0" fontId="1" fillId="59" borderId="68" applyNumberFormat="0" applyFont="0" applyAlignment="0" applyProtection="0"/>
    <xf numFmtId="0" fontId="1" fillId="59" borderId="68" applyNumberFormat="0" applyFont="0" applyAlignment="0" applyProtection="0"/>
    <xf numFmtId="0" fontId="1" fillId="0" borderId="0"/>
    <xf numFmtId="0" fontId="1" fillId="0" borderId="0"/>
    <xf numFmtId="0" fontId="1" fillId="59" borderId="6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91" borderId="0" applyNumberFormat="0" applyBorder="0" applyAlignment="0" applyProtection="0"/>
    <xf numFmtId="0" fontId="1" fillId="92" borderId="0" applyNumberFormat="0" applyBorder="0" applyAlignment="0" applyProtection="0"/>
    <xf numFmtId="0" fontId="1" fillId="93" borderId="0" applyNumberFormat="0" applyBorder="0" applyAlignment="0" applyProtection="0"/>
    <xf numFmtId="0" fontId="1" fillId="9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94"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59" borderId="68" applyNumberFormat="0" applyFont="0" applyAlignment="0" applyProtection="0"/>
    <xf numFmtId="0" fontId="1" fillId="59" borderId="68" applyNumberFormat="0" applyFont="0" applyAlignment="0" applyProtection="0"/>
    <xf numFmtId="0" fontId="1" fillId="59" borderId="68" applyNumberFormat="0" applyFont="0" applyAlignment="0" applyProtection="0"/>
    <xf numFmtId="0" fontId="1" fillId="0" borderId="0"/>
    <xf numFmtId="0" fontId="1" fillId="0" borderId="0"/>
    <xf numFmtId="0" fontId="1" fillId="0" borderId="0"/>
    <xf numFmtId="0" fontId="1" fillId="0" borderId="0"/>
    <xf numFmtId="0" fontId="1" fillId="91" borderId="0" applyNumberFormat="0" applyBorder="0" applyAlignment="0" applyProtection="0"/>
    <xf numFmtId="0" fontId="1" fillId="92" borderId="0" applyNumberFormat="0" applyBorder="0" applyAlignment="0" applyProtection="0"/>
    <xf numFmtId="0" fontId="1" fillId="93" borderId="0" applyNumberFormat="0" applyBorder="0" applyAlignment="0" applyProtection="0"/>
    <xf numFmtId="0" fontId="1" fillId="9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94"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0" borderId="0"/>
    <xf numFmtId="0" fontId="1" fillId="59" borderId="68" applyNumberFormat="0" applyFont="0" applyAlignment="0" applyProtection="0"/>
    <xf numFmtId="0" fontId="1" fillId="59" borderId="68" applyNumberFormat="0" applyFont="0" applyAlignment="0" applyProtection="0"/>
    <xf numFmtId="0" fontId="1" fillId="0" borderId="0"/>
    <xf numFmtId="0" fontId="1" fillId="0" borderId="0"/>
    <xf numFmtId="0" fontId="1" fillId="59" borderId="6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170" fontId="1" fillId="0" borderId="0"/>
    <xf numFmtId="170" fontId="1" fillId="0" borderId="0"/>
    <xf numFmtId="170" fontId="1" fillId="91" borderId="0" applyNumberFormat="0" applyBorder="0" applyAlignment="0" applyProtection="0"/>
    <xf numFmtId="170" fontId="1" fillId="92" borderId="0" applyNumberFormat="0" applyBorder="0" applyAlignment="0" applyProtection="0"/>
    <xf numFmtId="170" fontId="1" fillId="93" borderId="0" applyNumberFormat="0" applyBorder="0" applyAlignment="0" applyProtection="0"/>
    <xf numFmtId="170" fontId="1" fillId="96" borderId="0" applyNumberFormat="0" applyBorder="0" applyAlignment="0" applyProtection="0"/>
    <xf numFmtId="170" fontId="1" fillId="37" borderId="0" applyNumberFormat="0" applyBorder="0" applyAlignment="0" applyProtection="0"/>
    <xf numFmtId="170" fontId="1" fillId="38" borderId="0" applyNumberFormat="0" applyBorder="0" applyAlignment="0" applyProtection="0"/>
    <xf numFmtId="170" fontId="1" fillId="39" borderId="0" applyNumberFormat="0" applyBorder="0" applyAlignment="0" applyProtection="0"/>
    <xf numFmtId="170" fontId="1" fillId="40" borderId="0" applyNumberFormat="0" applyBorder="0" applyAlignment="0" applyProtection="0"/>
    <xf numFmtId="170" fontId="1" fillId="94" borderId="0" applyNumberFormat="0" applyBorder="0" applyAlignment="0" applyProtection="0"/>
    <xf numFmtId="170" fontId="1" fillId="41" borderId="0" applyNumberFormat="0" applyBorder="0" applyAlignment="0" applyProtection="0"/>
    <xf numFmtId="170" fontId="1" fillId="42" borderId="0" applyNumberFormat="0" applyBorder="0" applyAlignment="0" applyProtection="0"/>
    <xf numFmtId="170" fontId="1" fillId="43" borderId="0" applyNumberFormat="0" applyBorder="0" applyAlignment="0" applyProtection="0"/>
    <xf numFmtId="170" fontId="1" fillId="0" borderId="0"/>
    <xf numFmtId="170" fontId="1" fillId="59" borderId="68" applyNumberFormat="0" applyFont="0" applyAlignment="0" applyProtection="0"/>
    <xf numFmtId="170" fontId="1" fillId="59" borderId="68" applyNumberFormat="0" applyFont="0" applyAlignment="0" applyProtection="0"/>
    <xf numFmtId="170" fontId="1" fillId="0" borderId="0"/>
    <xf numFmtId="170" fontId="1" fillId="0" borderId="0"/>
    <xf numFmtId="170" fontId="1" fillId="59" borderId="68" applyNumberFormat="0" applyFont="0" applyAlignment="0" applyProtection="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1" borderId="0" applyNumberFormat="0" applyBorder="0" applyAlignment="0" applyProtection="0"/>
    <xf numFmtId="0" fontId="1" fillId="92" borderId="0" applyNumberFormat="0" applyBorder="0" applyAlignment="0" applyProtection="0"/>
    <xf numFmtId="0" fontId="1" fillId="93" borderId="0" applyNumberFormat="0" applyBorder="0" applyAlignment="0" applyProtection="0"/>
    <xf numFmtId="0" fontId="1" fillId="9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94"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0" borderId="0"/>
    <xf numFmtId="0" fontId="1" fillId="59" borderId="68" applyNumberFormat="0" applyFont="0" applyAlignment="0" applyProtection="0"/>
    <xf numFmtId="0" fontId="1" fillId="59" borderId="68" applyNumberFormat="0" applyFont="0" applyAlignment="0" applyProtection="0"/>
    <xf numFmtId="0" fontId="1" fillId="0" borderId="0"/>
    <xf numFmtId="0" fontId="1" fillId="0" borderId="0"/>
    <xf numFmtId="0" fontId="1" fillId="59" borderId="6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91" borderId="0" applyNumberFormat="0" applyBorder="0" applyAlignment="0" applyProtection="0"/>
    <xf numFmtId="0" fontId="1" fillId="92" borderId="0" applyNumberFormat="0" applyBorder="0" applyAlignment="0" applyProtection="0"/>
    <xf numFmtId="0" fontId="1" fillId="93" borderId="0" applyNumberFormat="0" applyBorder="0" applyAlignment="0" applyProtection="0"/>
    <xf numFmtId="0" fontId="1" fillId="9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94"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59" borderId="68" applyNumberFormat="0" applyFont="0" applyAlignment="0" applyProtection="0"/>
    <xf numFmtId="0" fontId="1" fillId="59" borderId="68" applyNumberFormat="0" applyFont="0" applyAlignment="0" applyProtection="0"/>
    <xf numFmtId="0" fontId="1" fillId="59" borderId="68" applyNumberFormat="0" applyFont="0" applyAlignment="0" applyProtection="0"/>
    <xf numFmtId="0" fontId="1" fillId="0" borderId="0"/>
    <xf numFmtId="0" fontId="1" fillId="0" borderId="0"/>
    <xf numFmtId="0" fontId="1" fillId="0" borderId="0"/>
    <xf numFmtId="0" fontId="1" fillId="0" borderId="0"/>
    <xf numFmtId="0" fontId="1" fillId="91" borderId="0" applyNumberFormat="0" applyBorder="0" applyAlignment="0" applyProtection="0"/>
    <xf numFmtId="0" fontId="1" fillId="92" borderId="0" applyNumberFormat="0" applyBorder="0" applyAlignment="0" applyProtection="0"/>
    <xf numFmtId="0" fontId="1" fillId="93" borderId="0" applyNumberFormat="0" applyBorder="0" applyAlignment="0" applyProtection="0"/>
    <xf numFmtId="0" fontId="1" fillId="9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94"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0" borderId="0"/>
    <xf numFmtId="0" fontId="1" fillId="59" borderId="68" applyNumberFormat="0" applyFont="0" applyAlignment="0" applyProtection="0"/>
    <xf numFmtId="0" fontId="1" fillId="59" borderId="68" applyNumberFormat="0" applyFont="0" applyAlignment="0" applyProtection="0"/>
    <xf numFmtId="0" fontId="1" fillId="0" borderId="0"/>
    <xf numFmtId="0" fontId="1" fillId="0" borderId="0"/>
    <xf numFmtId="0" fontId="1" fillId="59" borderId="6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170" fontId="1" fillId="0" borderId="0"/>
    <xf numFmtId="170" fontId="1" fillId="0" borderId="0"/>
    <xf numFmtId="170" fontId="1" fillId="0" borderId="0"/>
    <xf numFmtId="170" fontId="1" fillId="91" borderId="0" applyNumberFormat="0" applyBorder="0" applyAlignment="0" applyProtection="0"/>
    <xf numFmtId="170" fontId="1" fillId="92" borderId="0" applyNumberFormat="0" applyBorder="0" applyAlignment="0" applyProtection="0"/>
    <xf numFmtId="170" fontId="1" fillId="93" borderId="0" applyNumberFormat="0" applyBorder="0" applyAlignment="0" applyProtection="0"/>
    <xf numFmtId="170" fontId="1" fillId="96" borderId="0" applyNumberFormat="0" applyBorder="0" applyAlignment="0" applyProtection="0"/>
    <xf numFmtId="170" fontId="1" fillId="37" borderId="0" applyNumberFormat="0" applyBorder="0" applyAlignment="0" applyProtection="0"/>
    <xf numFmtId="170" fontId="1" fillId="38" borderId="0" applyNumberFormat="0" applyBorder="0" applyAlignment="0" applyProtection="0"/>
    <xf numFmtId="170" fontId="1" fillId="39" borderId="0" applyNumberFormat="0" applyBorder="0" applyAlignment="0" applyProtection="0"/>
    <xf numFmtId="170" fontId="1" fillId="40" borderId="0" applyNumberFormat="0" applyBorder="0" applyAlignment="0" applyProtection="0"/>
    <xf numFmtId="170" fontId="1" fillId="94" borderId="0" applyNumberFormat="0" applyBorder="0" applyAlignment="0" applyProtection="0"/>
    <xf numFmtId="170" fontId="1" fillId="41" borderId="0" applyNumberFormat="0" applyBorder="0" applyAlignment="0" applyProtection="0"/>
    <xf numFmtId="170" fontId="1" fillId="42" borderId="0" applyNumberFormat="0" applyBorder="0" applyAlignment="0" applyProtection="0"/>
    <xf numFmtId="170" fontId="1" fillId="43" borderId="0" applyNumberFormat="0" applyBorder="0" applyAlignment="0" applyProtection="0"/>
    <xf numFmtId="170" fontId="1" fillId="0" borderId="0"/>
    <xf numFmtId="170" fontId="1" fillId="59" borderId="68" applyNumberFormat="0" applyFont="0" applyAlignment="0" applyProtection="0"/>
    <xf numFmtId="170" fontId="1" fillId="59" borderId="68" applyNumberFormat="0" applyFont="0" applyAlignment="0" applyProtection="0"/>
    <xf numFmtId="170" fontId="1" fillId="0" borderId="0"/>
    <xf numFmtId="170" fontId="1" fillId="0" borderId="0"/>
    <xf numFmtId="170" fontId="1" fillId="59" borderId="68" applyNumberFormat="0" applyFont="0" applyAlignment="0" applyProtection="0"/>
    <xf numFmtId="17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1" borderId="0" applyNumberFormat="0" applyBorder="0" applyAlignment="0" applyProtection="0"/>
    <xf numFmtId="0" fontId="1" fillId="92" borderId="0" applyNumberFormat="0" applyBorder="0" applyAlignment="0" applyProtection="0"/>
    <xf numFmtId="0" fontId="1" fillId="93" borderId="0" applyNumberFormat="0" applyBorder="0" applyAlignment="0" applyProtection="0"/>
    <xf numFmtId="0" fontId="1" fillId="9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94"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0" borderId="0"/>
    <xf numFmtId="0" fontId="1" fillId="59" borderId="68" applyNumberFormat="0" applyFont="0" applyAlignment="0" applyProtection="0"/>
    <xf numFmtId="0" fontId="1" fillId="59" borderId="68" applyNumberFormat="0" applyFont="0" applyAlignment="0" applyProtection="0"/>
    <xf numFmtId="0" fontId="1" fillId="0" borderId="0"/>
    <xf numFmtId="0" fontId="1" fillId="0" borderId="0"/>
    <xf numFmtId="0" fontId="1" fillId="59" borderId="6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70" fontId="1" fillId="0" borderId="0"/>
    <xf numFmtId="0" fontId="1" fillId="0" borderId="0"/>
    <xf numFmtId="0" fontId="1" fillId="0" borderId="0"/>
    <xf numFmtId="0" fontId="1" fillId="91" borderId="0" applyNumberFormat="0" applyBorder="0" applyAlignment="0" applyProtection="0"/>
    <xf numFmtId="0" fontId="1" fillId="92" borderId="0" applyNumberFormat="0" applyBorder="0" applyAlignment="0" applyProtection="0"/>
    <xf numFmtId="0" fontId="1" fillId="93" borderId="0" applyNumberFormat="0" applyBorder="0" applyAlignment="0" applyProtection="0"/>
    <xf numFmtId="0" fontId="1" fillId="9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94"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59" borderId="68" applyNumberFormat="0" applyFont="0" applyAlignment="0" applyProtection="0"/>
    <xf numFmtId="0" fontId="1" fillId="59" borderId="68" applyNumberFormat="0" applyFont="0" applyAlignment="0" applyProtection="0"/>
    <xf numFmtId="0" fontId="1" fillId="59" borderId="68" applyNumberFormat="0" applyFont="0" applyAlignment="0" applyProtection="0"/>
    <xf numFmtId="0" fontId="1" fillId="0" borderId="0"/>
    <xf numFmtId="0" fontId="1" fillId="0" borderId="0"/>
  </cellStyleXfs>
  <cellXfs count="1404">
    <xf numFmtId="0" fontId="0" fillId="0" borderId="0" xfId="0"/>
    <xf numFmtId="0" fontId="9" fillId="0" borderId="0" xfId="0" applyFont="1"/>
    <xf numFmtId="0" fontId="0" fillId="0" borderId="0" xfId="0" applyBorder="1"/>
    <xf numFmtId="0" fontId="12" fillId="0" borderId="0" xfId="0" applyFont="1"/>
    <xf numFmtId="0" fontId="0" fillId="0" borderId="0" xfId="0" applyFill="1"/>
    <xf numFmtId="0" fontId="16" fillId="0" borderId="0" xfId="629" applyFont="1" applyBorder="1"/>
    <xf numFmtId="0" fontId="14" fillId="0" borderId="0" xfId="629" applyBorder="1"/>
    <xf numFmtId="0" fontId="14" fillId="0" borderId="0" xfId="629"/>
    <xf numFmtId="0" fontId="15" fillId="0" borderId="0" xfId="629" applyFont="1" applyBorder="1"/>
    <xf numFmtId="0" fontId="14" fillId="0" borderId="0" xfId="629" applyBorder="1" applyAlignment="1">
      <alignment horizontal="left"/>
    </xf>
    <xf numFmtId="0" fontId="14" fillId="0" borderId="10" xfId="629" applyBorder="1"/>
    <xf numFmtId="0" fontId="14" fillId="0" borderId="11" xfId="629" applyBorder="1"/>
    <xf numFmtId="0" fontId="14" fillId="0" borderId="12" xfId="629" applyBorder="1"/>
    <xf numFmtId="0" fontId="19" fillId="0" borderId="13" xfId="629" applyFont="1" applyBorder="1" applyAlignment="1">
      <alignment horizontal="left"/>
    </xf>
    <xf numFmtId="0" fontId="14" fillId="0" borderId="14" xfId="629" applyBorder="1"/>
    <xf numFmtId="0" fontId="14" fillId="0" borderId="15" xfId="629" applyBorder="1" applyAlignment="1">
      <alignment horizontal="left"/>
    </xf>
    <xf numFmtId="0" fontId="14" fillId="0" borderId="16" xfId="629" applyBorder="1" applyAlignment="1">
      <alignment horizontal="left"/>
    </xf>
    <xf numFmtId="0" fontId="14" fillId="0" borderId="16" xfId="629" applyBorder="1"/>
    <xf numFmtId="0" fontId="14" fillId="0" borderId="17" xfId="629" applyBorder="1"/>
    <xf numFmtId="0" fontId="14" fillId="0" borderId="10" xfId="629" applyBorder="1" applyAlignment="1">
      <alignment horizontal="left"/>
    </xf>
    <xf numFmtId="0" fontId="14" fillId="0" borderId="12" xfId="629" applyBorder="1" applyAlignment="1">
      <alignment horizontal="left"/>
    </xf>
    <xf numFmtId="0" fontId="14" fillId="0" borderId="13" xfId="629" applyBorder="1" applyAlignment="1">
      <alignment horizontal="left"/>
    </xf>
    <xf numFmtId="0" fontId="14" fillId="0" borderId="14" xfId="629" applyBorder="1" applyAlignment="1">
      <alignment horizontal="left"/>
    </xf>
    <xf numFmtId="0" fontId="14" fillId="0" borderId="17" xfId="629" applyBorder="1" applyAlignment="1">
      <alignment horizontal="left"/>
    </xf>
    <xf numFmtId="0" fontId="17" fillId="0" borderId="0" xfId="629" applyFont="1" applyBorder="1"/>
    <xf numFmtId="0" fontId="16" fillId="0" borderId="10" xfId="629" applyFont="1" applyBorder="1"/>
    <xf numFmtId="0" fontId="19" fillId="0" borderId="13" xfId="629" applyFont="1" applyBorder="1"/>
    <xf numFmtId="0" fontId="14" fillId="0" borderId="13" xfId="629" applyBorder="1"/>
    <xf numFmtId="0" fontId="14" fillId="0" borderId="15" xfId="629" applyBorder="1"/>
    <xf numFmtId="0" fontId="14" fillId="0" borderId="0" xfId="629" applyBorder="1" applyAlignment="1">
      <alignment horizontal="center"/>
    </xf>
    <xf numFmtId="0" fontId="16" fillId="0" borderId="13" xfId="629" applyFont="1" applyBorder="1"/>
    <xf numFmtId="0" fontId="16" fillId="0" borderId="14" xfId="629" applyFont="1" applyBorder="1"/>
    <xf numFmtId="0" fontId="14" fillId="0" borderId="10" xfId="629" applyFont="1" applyBorder="1"/>
    <xf numFmtId="0" fontId="14" fillId="0" borderId="13" xfId="629" applyBorder="1" applyAlignment="1">
      <alignment horizontal="center"/>
    </xf>
    <xf numFmtId="0" fontId="15" fillId="0" borderId="15" xfId="629" applyFont="1" applyBorder="1" applyAlignment="1">
      <alignment horizontal="center"/>
    </xf>
    <xf numFmtId="0" fontId="14" fillId="0" borderId="13" xfId="629" applyFont="1" applyBorder="1" applyAlignment="1">
      <alignment horizontal="left"/>
    </xf>
    <xf numFmtId="0" fontId="14" fillId="0" borderId="15" xfId="629" applyFont="1" applyBorder="1" applyAlignment="1">
      <alignment horizontal="left"/>
    </xf>
    <xf numFmtId="0" fontId="23" fillId="0" borderId="14" xfId="629" applyFont="1" applyBorder="1" applyAlignment="1">
      <alignment horizontal="left"/>
    </xf>
    <xf numFmtId="16" fontId="14" fillId="0" borderId="13" xfId="629" applyNumberFormat="1" applyBorder="1" applyAlignment="1">
      <alignment horizontal="left"/>
    </xf>
    <xf numFmtId="0" fontId="23" fillId="0" borderId="17" xfId="629" applyFont="1" applyBorder="1" applyAlignment="1">
      <alignment horizontal="left"/>
    </xf>
    <xf numFmtId="0" fontId="20" fillId="0" borderId="10" xfId="629" applyFont="1" applyFill="1" applyBorder="1" applyAlignment="1">
      <alignment horizontal="left"/>
    </xf>
    <xf numFmtId="0" fontId="15" fillId="0" borderId="13" xfId="629" applyFont="1" applyBorder="1"/>
    <xf numFmtId="0" fontId="15" fillId="0" borderId="14" xfId="629" applyFont="1" applyBorder="1"/>
    <xf numFmtId="0" fontId="17" fillId="0" borderId="10" xfId="0" applyFont="1" applyBorder="1" applyAlignment="1">
      <alignment horizontal="left"/>
    </xf>
    <xf numFmtId="0" fontId="17" fillId="0" borderId="12" xfId="0" applyFont="1" applyBorder="1" applyAlignment="1">
      <alignment horizontal="left"/>
    </xf>
    <xf numFmtId="0" fontId="19" fillId="0" borderId="13" xfId="0" applyFont="1" applyBorder="1" applyAlignment="1">
      <alignment horizontal="left"/>
    </xf>
    <xf numFmtId="0" fontId="19" fillId="0" borderId="14" xfId="0" applyFont="1" applyBorder="1" applyAlignment="1">
      <alignment horizontal="left"/>
    </xf>
    <xf numFmtId="0" fontId="19" fillId="0" borderId="15" xfId="0" applyFont="1" applyBorder="1" applyAlignment="1">
      <alignment horizontal="left"/>
    </xf>
    <xf numFmtId="0" fontId="19" fillId="0" borderId="17" xfId="0" applyFont="1" applyBorder="1" applyAlignment="1">
      <alignment horizontal="left"/>
    </xf>
    <xf numFmtId="0" fontId="0" fillId="0" borderId="0" xfId="0" applyProtection="1">
      <protection locked="0"/>
    </xf>
    <xf numFmtId="0" fontId="0" fillId="0" borderId="0" xfId="0" applyBorder="1" applyProtection="1">
      <protection locked="0"/>
    </xf>
    <xf numFmtId="0" fontId="9" fillId="0" borderId="0" xfId="0" applyFont="1" applyProtection="1">
      <protection locked="0"/>
    </xf>
    <xf numFmtId="0" fontId="0" fillId="0" borderId="0" xfId="0" applyFill="1" applyProtection="1">
      <protection locked="0"/>
    </xf>
    <xf numFmtId="2" fontId="0" fillId="24" borderId="0" xfId="0" applyNumberFormat="1" applyFill="1" applyProtection="1">
      <protection locked="0"/>
    </xf>
    <xf numFmtId="2" fontId="0" fillId="0" borderId="0" xfId="0" applyNumberFormat="1" applyProtection="1">
      <protection locked="0"/>
    </xf>
    <xf numFmtId="0" fontId="12" fillId="0" borderId="0" xfId="0" applyFont="1" applyProtection="1">
      <protection locked="0"/>
    </xf>
    <xf numFmtId="0" fontId="0" fillId="0" borderId="0" xfId="0" applyBorder="1" applyProtection="1"/>
    <xf numFmtId="0" fontId="0" fillId="0" borderId="16" xfId="0" applyBorder="1" applyProtection="1">
      <protection locked="0"/>
    </xf>
    <xf numFmtId="0" fontId="9" fillId="0" borderId="0" xfId="0" applyFont="1" applyBorder="1" applyProtection="1">
      <protection locked="0"/>
    </xf>
    <xf numFmtId="0" fontId="31" fillId="0" borderId="0" xfId="0" applyFont="1"/>
    <xf numFmtId="0" fontId="32" fillId="0" borderId="0" xfId="0" applyFont="1"/>
    <xf numFmtId="0" fontId="0" fillId="0" borderId="0" xfId="0" applyAlignment="1">
      <alignment horizontal="left"/>
    </xf>
    <xf numFmtId="0" fontId="0" fillId="0" borderId="0" xfId="0" applyBorder="1" applyAlignment="1">
      <alignment horizontal="left"/>
    </xf>
    <xf numFmtId="0" fontId="20" fillId="0" borderId="0" xfId="0" applyFont="1" applyAlignment="1">
      <alignment horizontal="left"/>
    </xf>
    <xf numFmtId="0" fontId="15" fillId="0" borderId="0" xfId="0" applyFont="1"/>
    <xf numFmtId="0" fontId="19" fillId="0" borderId="0" xfId="0" applyFont="1" applyAlignment="1">
      <alignment horizontal="left"/>
    </xf>
    <xf numFmtId="0" fontId="15" fillId="0" borderId="0" xfId="0" applyFont="1" applyAlignment="1">
      <alignment horizontal="right"/>
    </xf>
    <xf numFmtId="0" fontId="15" fillId="0" borderId="0" xfId="0" applyFont="1" applyAlignment="1">
      <alignment horizontal="left"/>
    </xf>
    <xf numFmtId="0" fontId="15" fillId="0" borderId="0" xfId="0" applyFont="1" applyBorder="1" applyAlignment="1">
      <alignment horizontal="left"/>
    </xf>
    <xf numFmtId="0" fontId="0" fillId="0" borderId="0" xfId="0" applyAlignment="1">
      <alignment horizontal="right"/>
    </xf>
    <xf numFmtId="0" fontId="0" fillId="0" borderId="18" xfId="0" applyBorder="1" applyAlignment="1">
      <alignment horizontal="left"/>
    </xf>
    <xf numFmtId="0" fontId="0" fillId="0" borderId="18" xfId="0" applyBorder="1" applyAlignment="1">
      <alignment horizontal="right"/>
    </xf>
    <xf numFmtId="0" fontId="0" fillId="0" borderId="0" xfId="0" applyBorder="1" applyAlignment="1" applyProtection="1">
      <alignment horizontal="left"/>
      <protection locked="0"/>
    </xf>
    <xf numFmtId="0" fontId="0" fillId="0" borderId="0" xfId="0" applyBorder="1" applyAlignment="1" applyProtection="1">
      <alignment horizontal="right"/>
      <protection locked="0"/>
    </xf>
    <xf numFmtId="0" fontId="20" fillId="0" borderId="0" xfId="0" applyFont="1" applyAlignment="1" applyProtection="1">
      <alignment horizontal="left"/>
      <protection locked="0"/>
    </xf>
    <xf numFmtId="0" fontId="0" fillId="0" borderId="0" xfId="0" applyAlignment="1" applyProtection="1">
      <alignment horizontal="left"/>
      <protection locked="0"/>
    </xf>
    <xf numFmtId="0" fontId="0" fillId="0" borderId="0" xfId="0" applyAlignment="1" applyProtection="1">
      <alignment horizontal="right"/>
      <protection locked="0"/>
    </xf>
    <xf numFmtId="0" fontId="19" fillId="0" borderId="0" xfId="0" applyFont="1" applyBorder="1" applyAlignment="1" applyProtection="1">
      <alignment horizontal="left"/>
      <protection locked="0"/>
    </xf>
    <xf numFmtId="0" fontId="33" fillId="0" borderId="19" xfId="0" applyFont="1" applyBorder="1" applyAlignment="1" applyProtection="1">
      <alignment horizontal="left"/>
      <protection locked="0"/>
    </xf>
    <xf numFmtId="0" fontId="33" fillId="0" borderId="0" xfId="0" applyFont="1" applyBorder="1" applyAlignment="1" applyProtection="1">
      <alignment horizontal="left"/>
      <protection locked="0"/>
    </xf>
    <xf numFmtId="0" fontId="33" fillId="0" borderId="0" xfId="0" applyFont="1" applyAlignment="1" applyProtection="1">
      <alignment horizontal="left"/>
      <protection locked="0"/>
    </xf>
    <xf numFmtId="0" fontId="16" fillId="0" borderId="0" xfId="0" applyFont="1" applyBorder="1" applyAlignment="1" applyProtection="1">
      <alignment horizontal="left"/>
      <protection locked="0"/>
    </xf>
    <xf numFmtId="0" fontId="16" fillId="0" borderId="0" xfId="0" applyFont="1" applyAlignment="1" applyProtection="1">
      <alignment horizontal="left"/>
      <protection locked="0"/>
    </xf>
    <xf numFmtId="0" fontId="20" fillId="0" borderId="0" xfId="0" applyFont="1" applyBorder="1" applyAlignment="1" applyProtection="1">
      <alignment horizontal="left"/>
      <protection locked="0"/>
    </xf>
    <xf numFmtId="0" fontId="19" fillId="0" borderId="0" xfId="0" applyFont="1" applyAlignment="1" applyProtection="1">
      <alignment horizontal="left"/>
      <protection locked="0"/>
    </xf>
    <xf numFmtId="0" fontId="15" fillId="0" borderId="0" xfId="0" applyFont="1" applyProtection="1">
      <protection locked="0"/>
    </xf>
    <xf numFmtId="0" fontId="17" fillId="0" borderId="0" xfId="0" applyFont="1" applyAlignment="1" applyProtection="1">
      <alignment horizontal="left"/>
      <protection locked="0"/>
    </xf>
    <xf numFmtId="0" fontId="17" fillId="0" borderId="0" xfId="0" applyFont="1" applyBorder="1" applyAlignment="1" applyProtection="1">
      <alignment horizontal="left"/>
      <protection locked="0"/>
    </xf>
    <xf numFmtId="0" fontId="15" fillId="0" borderId="0" xfId="0" applyFont="1" applyAlignment="1" applyProtection="1">
      <alignment horizontal="left"/>
      <protection locked="0"/>
    </xf>
    <xf numFmtId="0" fontId="0" fillId="0" borderId="18" xfId="0" applyBorder="1" applyAlignment="1" applyProtection="1">
      <alignment horizontal="left"/>
      <protection locked="0"/>
    </xf>
    <xf numFmtId="0" fontId="15" fillId="0" borderId="18" xfId="0" applyFont="1" applyBorder="1" applyAlignment="1" applyProtection="1">
      <alignment horizontal="left"/>
      <protection locked="0"/>
    </xf>
    <xf numFmtId="0" fontId="19" fillId="0" borderId="18" xfId="0" applyFont="1" applyBorder="1" applyAlignment="1" applyProtection="1">
      <alignment horizontal="left"/>
      <protection locked="0"/>
    </xf>
    <xf numFmtId="0" fontId="15" fillId="0" borderId="0" xfId="0" applyFont="1" applyBorder="1" applyAlignment="1" applyProtection="1">
      <alignment horizontal="left"/>
      <protection locked="0"/>
    </xf>
    <xf numFmtId="0" fontId="0" fillId="0" borderId="18" xfId="0" applyBorder="1"/>
    <xf numFmtId="0" fontId="9" fillId="0" borderId="0" xfId="0" applyFont="1" applyBorder="1" applyAlignment="1" applyProtection="1">
      <alignment horizontal="left"/>
      <protection locked="0"/>
    </xf>
    <xf numFmtId="0" fontId="34" fillId="0" borderId="0" xfId="0" applyFont="1"/>
    <xf numFmtId="0" fontId="16" fillId="0" borderId="0" xfId="0" applyFont="1" applyAlignment="1">
      <alignment horizontal="left"/>
    </xf>
    <xf numFmtId="0" fontId="9" fillId="0" borderId="0" xfId="0" applyFont="1" applyAlignment="1">
      <alignment horizontal="left"/>
    </xf>
    <xf numFmtId="0" fontId="16" fillId="0" borderId="19" xfId="0" applyFont="1" applyBorder="1" applyAlignment="1">
      <alignment horizontal="left"/>
    </xf>
    <xf numFmtId="0" fontId="16" fillId="0" borderId="0" xfId="0" applyFont="1" applyBorder="1" applyAlignment="1">
      <alignment horizontal="left"/>
    </xf>
    <xf numFmtId="0" fontId="17" fillId="0" borderId="0" xfId="0" applyFont="1" applyAlignment="1">
      <alignment horizontal="left"/>
    </xf>
    <xf numFmtId="0" fontId="17" fillId="0" borderId="0" xfId="0" applyFont="1" applyBorder="1" applyAlignment="1">
      <alignment horizontal="left"/>
    </xf>
    <xf numFmtId="0" fontId="16" fillId="0" borderId="0" xfId="0" applyFont="1" applyBorder="1" applyAlignment="1">
      <alignment horizontal="right"/>
    </xf>
    <xf numFmtId="0" fontId="18" fillId="0" borderId="0" xfId="0" applyFont="1" applyAlignment="1">
      <alignment horizontal="left"/>
    </xf>
    <xf numFmtId="0" fontId="15" fillId="0" borderId="18" xfId="0" applyFont="1" applyBorder="1" applyAlignment="1">
      <alignment horizontal="left"/>
    </xf>
    <xf numFmtId="0" fontId="17" fillId="0" borderId="18" xfId="0" applyFont="1" applyBorder="1" applyAlignment="1">
      <alignment horizontal="left"/>
    </xf>
    <xf numFmtId="0" fontId="18" fillId="0" borderId="0" xfId="0" applyFont="1" applyBorder="1" applyAlignment="1">
      <alignment horizontal="left"/>
    </xf>
    <xf numFmtId="0" fontId="9" fillId="0" borderId="0" xfId="0" applyFont="1" applyAlignment="1">
      <alignment horizontal="right"/>
    </xf>
    <xf numFmtId="0" fontId="12" fillId="0" borderId="0" xfId="0" applyFont="1" applyBorder="1" applyAlignment="1" applyProtection="1">
      <alignment horizontal="left"/>
      <protection locked="0"/>
    </xf>
    <xf numFmtId="0" fontId="36" fillId="0" borderId="0" xfId="0" applyFont="1" applyAlignment="1">
      <alignment horizontal="left"/>
    </xf>
    <xf numFmtId="0" fontId="14" fillId="0" borderId="0" xfId="0" applyFont="1" applyAlignment="1">
      <alignment horizontal="left"/>
    </xf>
    <xf numFmtId="0" fontId="17" fillId="0" borderId="19" xfId="0" applyFont="1" applyBorder="1" applyAlignment="1">
      <alignment horizontal="left"/>
    </xf>
    <xf numFmtId="0" fontId="19" fillId="0" borderId="0" xfId="0" applyFont="1" applyAlignment="1">
      <alignment horizontal="right"/>
    </xf>
    <xf numFmtId="0" fontId="0" fillId="0" borderId="19" xfId="0" applyBorder="1" applyAlignment="1">
      <alignment horizontal="left"/>
    </xf>
    <xf numFmtId="0" fontId="18" fillId="0" borderId="0" xfId="0" applyFont="1" applyAlignment="1">
      <alignment horizontal="center"/>
    </xf>
    <xf numFmtId="2" fontId="0" fillId="0" borderId="0" xfId="0" applyNumberFormat="1" applyAlignment="1">
      <alignment horizontal="center"/>
    </xf>
    <xf numFmtId="0" fontId="37" fillId="0" borderId="0" xfId="0" applyFont="1"/>
    <xf numFmtId="164" fontId="0" fillId="0" borderId="0" xfId="0" applyNumberFormat="1" applyAlignment="1">
      <alignment horizontal="left"/>
    </xf>
    <xf numFmtId="0" fontId="0" fillId="0" borderId="0" xfId="0" applyBorder="1" applyAlignment="1">
      <alignment horizontal="right"/>
    </xf>
    <xf numFmtId="0" fontId="9" fillId="0" borderId="18" xfId="0" applyFont="1" applyBorder="1" applyAlignment="1" applyProtection="1">
      <alignment horizontal="left"/>
      <protection locked="0"/>
    </xf>
    <xf numFmtId="0" fontId="38" fillId="0" borderId="18" xfId="0" applyFont="1" applyBorder="1"/>
    <xf numFmtId="0" fontId="9" fillId="0" borderId="0" xfId="0" applyFont="1" applyBorder="1"/>
    <xf numFmtId="0" fontId="14" fillId="0" borderId="13" xfId="629" applyFont="1" applyBorder="1"/>
    <xf numFmtId="0" fontId="9" fillId="0" borderId="18" xfId="0" applyFont="1" applyBorder="1"/>
    <xf numFmtId="0" fontId="0" fillId="0" borderId="13" xfId="0" applyBorder="1" applyAlignment="1">
      <alignment horizontal="left"/>
    </xf>
    <xf numFmtId="0" fontId="0" fillId="0" borderId="14" xfId="0" applyBorder="1" applyAlignment="1">
      <alignment horizontal="left"/>
    </xf>
    <xf numFmtId="0" fontId="0" fillId="0" borderId="14" xfId="0" applyBorder="1"/>
    <xf numFmtId="0" fontId="15" fillId="0" borderId="10" xfId="0" applyFont="1" applyBorder="1" applyAlignment="1">
      <alignment horizontal="left"/>
    </xf>
    <xf numFmtId="0" fontId="0" fillId="0" borderId="11" xfId="0" applyBorder="1"/>
    <xf numFmtId="0" fontId="0" fillId="0" borderId="12" xfId="0" applyBorder="1"/>
    <xf numFmtId="0" fontId="19" fillId="0" borderId="15" xfId="0" applyFont="1" applyBorder="1"/>
    <xf numFmtId="0" fontId="9" fillId="0" borderId="0" xfId="0" applyFont="1" applyBorder="1" applyAlignment="1">
      <alignment horizontal="right"/>
    </xf>
    <xf numFmtId="0" fontId="9" fillId="0" borderId="0" xfId="0" applyFont="1" applyBorder="1" applyAlignment="1">
      <alignment horizontal="left"/>
    </xf>
    <xf numFmtId="0" fontId="32" fillId="0" borderId="0" xfId="0" applyFont="1" applyFill="1"/>
    <xf numFmtId="0" fontId="0" fillId="0" borderId="0" xfId="0" applyFill="1" applyAlignment="1">
      <alignment horizontal="left"/>
    </xf>
    <xf numFmtId="0" fontId="0" fillId="0" borderId="0" xfId="0" applyFill="1" applyBorder="1" applyAlignment="1">
      <alignment horizontal="right"/>
    </xf>
    <xf numFmtId="0" fontId="0" fillId="0" borderId="18" xfId="0" applyFill="1" applyBorder="1"/>
    <xf numFmtId="0" fontId="0" fillId="0" borderId="18" xfId="0" applyFill="1" applyBorder="1" applyAlignment="1">
      <alignment horizontal="left"/>
    </xf>
    <xf numFmtId="0" fontId="33" fillId="0" borderId="0" xfId="0" applyFont="1" applyBorder="1" applyAlignment="1">
      <alignment horizontal="left"/>
    </xf>
    <xf numFmtId="0" fontId="38" fillId="0" borderId="0" xfId="0" applyFont="1" applyAlignment="1">
      <alignment horizontal="left"/>
    </xf>
    <xf numFmtId="0" fontId="14" fillId="0" borderId="0" xfId="0" applyFont="1" applyBorder="1" applyAlignment="1">
      <alignment horizontal="left"/>
    </xf>
    <xf numFmtId="0" fontId="14" fillId="0" borderId="0" xfId="0" applyFont="1"/>
    <xf numFmtId="0" fontId="38" fillId="0" borderId="0" xfId="0" applyFont="1" applyBorder="1" applyAlignment="1">
      <alignment horizontal="left"/>
    </xf>
    <xf numFmtId="0" fontId="38" fillId="0" borderId="0" xfId="0" applyFont="1"/>
    <xf numFmtId="0" fontId="14" fillId="0" borderId="0" xfId="0" applyFont="1" applyBorder="1"/>
    <xf numFmtId="0" fontId="10" fillId="0" borderId="0" xfId="0" applyFont="1"/>
    <xf numFmtId="2" fontId="14" fillId="0" borderId="0" xfId="0" applyNumberFormat="1" applyFont="1" applyAlignment="1">
      <alignment horizontal="center"/>
    </xf>
    <xf numFmtId="0" fontId="14" fillId="0" borderId="13" xfId="0" applyFont="1" applyBorder="1" applyAlignment="1">
      <alignment horizontal="left"/>
    </xf>
    <xf numFmtId="0" fontId="14" fillId="0" borderId="14" xfId="0" applyFont="1" applyBorder="1"/>
    <xf numFmtId="0" fontId="14" fillId="0" borderId="16" xfId="0" applyFont="1" applyBorder="1"/>
    <xf numFmtId="0" fontId="14" fillId="0" borderId="17" xfId="0" applyFont="1" applyBorder="1"/>
    <xf numFmtId="0" fontId="0" fillId="0" borderId="20" xfId="0" applyBorder="1" applyAlignment="1">
      <alignment horizontal="left"/>
    </xf>
    <xf numFmtId="0" fontId="34" fillId="0" borderId="0" xfId="0" applyFont="1" applyProtection="1">
      <protection locked="0"/>
    </xf>
    <xf numFmtId="0" fontId="0" fillId="0" borderId="18" xfId="0" applyBorder="1" applyProtection="1">
      <protection locked="0"/>
    </xf>
    <xf numFmtId="0" fontId="11" fillId="0" borderId="0" xfId="0" applyFont="1" applyBorder="1" applyProtection="1">
      <protection locked="0"/>
    </xf>
    <xf numFmtId="0" fontId="9" fillId="0" borderId="19" xfId="0" applyFont="1" applyBorder="1" applyProtection="1">
      <protection locked="0"/>
    </xf>
    <xf numFmtId="0" fontId="0" fillId="0" borderId="18" xfId="0" applyBorder="1" applyAlignment="1" applyProtection="1">
      <alignment horizontal="right"/>
      <protection locked="0"/>
    </xf>
    <xf numFmtId="0" fontId="9" fillId="0" borderId="18" xfId="0" applyFont="1" applyBorder="1" applyAlignment="1" applyProtection="1">
      <alignment horizontal="right"/>
      <protection locked="0"/>
    </xf>
    <xf numFmtId="0" fontId="0" fillId="0" borderId="19" xfId="0" applyBorder="1" applyAlignment="1" applyProtection="1">
      <alignment horizontal="right"/>
      <protection locked="0"/>
    </xf>
    <xf numFmtId="0" fontId="17" fillId="0" borderId="18" xfId="0" applyFont="1" applyBorder="1" applyAlignment="1" applyProtection="1">
      <alignment horizontal="left"/>
      <protection locked="0"/>
    </xf>
    <xf numFmtId="0" fontId="12" fillId="0" borderId="18" xfId="0" applyFont="1" applyBorder="1" applyProtection="1">
      <protection locked="0"/>
    </xf>
    <xf numFmtId="0" fontId="9" fillId="0" borderId="18" xfId="0" applyFont="1" applyBorder="1" applyProtection="1">
      <protection locked="0"/>
    </xf>
    <xf numFmtId="0" fontId="38" fillId="0" borderId="18" xfId="0" applyFont="1" applyBorder="1" applyProtection="1">
      <protection locked="0"/>
    </xf>
    <xf numFmtId="0" fontId="0" fillId="0" borderId="10" xfId="0" applyBorder="1" applyProtection="1">
      <protection locked="0"/>
    </xf>
    <xf numFmtId="0" fontId="0" fillId="0" borderId="12" xfId="0" applyBorder="1" applyAlignment="1" applyProtection="1">
      <alignment horizontal="right"/>
      <protection locked="0"/>
    </xf>
    <xf numFmtId="0" fontId="0" fillId="0" borderId="13" xfId="0" applyBorder="1" applyAlignment="1" applyProtection="1">
      <alignment horizontal="right"/>
      <protection locked="0"/>
    </xf>
    <xf numFmtId="0" fontId="0" fillId="0" borderId="14" xfId="0" applyBorder="1" applyProtection="1">
      <protection locked="0"/>
    </xf>
    <xf numFmtId="0" fontId="0" fillId="0" borderId="15" xfId="0" applyBorder="1" applyAlignment="1" applyProtection="1">
      <alignment horizontal="right"/>
      <protection locked="0"/>
    </xf>
    <xf numFmtId="0" fontId="0" fillId="0" borderId="17" xfId="0" applyBorder="1" applyProtection="1">
      <protection locked="0"/>
    </xf>
    <xf numFmtId="0" fontId="0" fillId="0" borderId="18" xfId="0" applyFill="1" applyBorder="1" applyProtection="1">
      <protection locked="0"/>
    </xf>
    <xf numFmtId="0" fontId="0" fillId="0" borderId="0" xfId="0" applyFill="1" applyAlignment="1" applyProtection="1">
      <alignment horizontal="left"/>
      <protection locked="0"/>
    </xf>
    <xf numFmtId="0" fontId="9" fillId="0" borderId="0" xfId="0" applyFont="1" applyFill="1" applyBorder="1" applyAlignment="1" applyProtection="1">
      <alignment horizontal="left"/>
      <protection locked="0"/>
    </xf>
    <xf numFmtId="0" fontId="12" fillId="0" borderId="18" xfId="0" applyFont="1" applyFill="1" applyBorder="1" applyProtection="1">
      <protection locked="0"/>
    </xf>
    <xf numFmtId="0" fontId="33" fillId="0" borderId="19" xfId="0" applyFont="1" applyBorder="1" applyAlignment="1">
      <alignment horizontal="left"/>
    </xf>
    <xf numFmtId="0" fontId="33" fillId="0" borderId="0" xfId="0" applyFont="1" applyAlignment="1">
      <alignment horizontal="left"/>
    </xf>
    <xf numFmtId="0" fontId="51" fillId="0" borderId="18" xfId="0" applyFont="1" applyBorder="1"/>
    <xf numFmtId="0" fontId="51" fillId="0" borderId="0" xfId="0" applyFont="1"/>
    <xf numFmtId="0" fontId="51" fillId="0" borderId="0" xfId="0" applyFont="1" applyProtection="1">
      <protection locked="0"/>
    </xf>
    <xf numFmtId="0" fontId="51" fillId="0" borderId="18" xfId="0" applyFont="1" applyBorder="1" applyProtection="1">
      <protection locked="0"/>
    </xf>
    <xf numFmtId="0" fontId="51" fillId="0" borderId="18" xfId="0" applyFont="1" applyBorder="1" applyAlignment="1" applyProtection="1">
      <alignment horizontal="left"/>
      <protection locked="0"/>
    </xf>
    <xf numFmtId="165" fontId="0" fillId="0" borderId="18" xfId="0" applyNumberFormat="1" applyBorder="1" applyProtection="1">
      <protection locked="0"/>
    </xf>
    <xf numFmtId="0" fontId="51" fillId="0" borderId="0" xfId="0" applyFont="1" applyAlignment="1" applyProtection="1">
      <alignment horizontal="left"/>
      <protection locked="0"/>
    </xf>
    <xf numFmtId="165" fontId="0" fillId="0" borderId="0" xfId="0" applyNumberFormat="1" applyProtection="1">
      <protection locked="0"/>
    </xf>
    <xf numFmtId="2" fontId="0" fillId="0" borderId="0" xfId="0" applyNumberFormat="1" applyAlignment="1" applyProtection="1">
      <alignment horizontal="left"/>
      <protection locked="0"/>
    </xf>
    <xf numFmtId="0" fontId="0" fillId="0" borderId="0" xfId="0" applyProtection="1"/>
    <xf numFmtId="0" fontId="16" fillId="0" borderId="10" xfId="0" applyFont="1" applyBorder="1" applyAlignment="1">
      <alignment wrapText="1"/>
    </xf>
    <xf numFmtId="0" fontId="16" fillId="0" borderId="12" xfId="0" applyFont="1" applyBorder="1" applyAlignment="1">
      <alignment horizontal="center" wrapText="1"/>
    </xf>
    <xf numFmtId="0" fontId="19" fillId="0" borderId="13" xfId="0" applyFont="1" applyBorder="1" applyAlignment="1">
      <alignment wrapText="1"/>
    </xf>
    <xf numFmtId="0" fontId="19" fillId="0" borderId="14" xfId="0" applyFont="1" applyBorder="1" applyAlignment="1">
      <alignment horizontal="center" wrapText="1"/>
    </xf>
    <xf numFmtId="0" fontId="19" fillId="0" borderId="17" xfId="0" applyFont="1" applyBorder="1" applyAlignment="1">
      <alignment horizontal="center" wrapText="1"/>
    </xf>
    <xf numFmtId="49" fontId="19" fillId="0" borderId="15" xfId="0" applyNumberFormat="1" applyFont="1" applyBorder="1" applyAlignment="1">
      <alignment wrapText="1"/>
    </xf>
    <xf numFmtId="0" fontId="0" fillId="0" borderId="0" xfId="0" applyFill="1" applyBorder="1" applyProtection="1"/>
    <xf numFmtId="0" fontId="0" fillId="0" borderId="0" xfId="0" applyFill="1" applyProtection="1"/>
    <xf numFmtId="2" fontId="0" fillId="24" borderId="0" xfId="0" applyNumberFormat="1" applyFill="1" applyProtection="1"/>
    <xf numFmtId="2" fontId="0" fillId="0" borderId="0" xfId="0" applyNumberFormat="1" applyFill="1" applyProtection="1"/>
    <xf numFmtId="2" fontId="0" fillId="0" borderId="0" xfId="0" applyNumberFormat="1" applyProtection="1"/>
    <xf numFmtId="0" fontId="0" fillId="24" borderId="0" xfId="0" applyFill="1" applyProtection="1"/>
    <xf numFmtId="164" fontId="12" fillId="0" borderId="18" xfId="0" applyNumberFormat="1" applyFont="1" applyBorder="1" applyAlignment="1" applyProtection="1">
      <alignment horizontal="left"/>
      <protection locked="0"/>
    </xf>
    <xf numFmtId="0" fontId="11" fillId="0" borderId="0" xfId="0" applyFont="1" applyAlignment="1">
      <alignment horizontal="left"/>
    </xf>
    <xf numFmtId="0" fontId="0" fillId="0" borderId="18" xfId="0" quotePrefix="1" applyNumberFormat="1" applyBorder="1" applyProtection="1">
      <protection locked="0"/>
    </xf>
    <xf numFmtId="0" fontId="0" fillId="0" borderId="0" xfId="0" quotePrefix="1" applyNumberFormat="1" applyProtection="1">
      <protection locked="0"/>
    </xf>
    <xf numFmtId="0" fontId="0" fillId="0" borderId="0" xfId="0" applyNumberFormat="1" applyProtection="1">
      <protection locked="0"/>
    </xf>
    <xf numFmtId="0" fontId="12" fillId="0" borderId="0" xfId="0" applyFont="1" applyAlignment="1">
      <alignment horizontal="right"/>
    </xf>
    <xf numFmtId="0" fontId="9" fillId="0" borderId="18" xfId="0" quotePrefix="1" applyNumberFormat="1" applyFont="1" applyBorder="1" applyProtection="1">
      <protection locked="0"/>
    </xf>
    <xf numFmtId="0" fontId="9" fillId="0" borderId="18" xfId="0" applyNumberFormat="1" applyFont="1" applyBorder="1" applyProtection="1">
      <protection locked="0"/>
    </xf>
    <xf numFmtId="0" fontId="34" fillId="0" borderId="0" xfId="0" applyFont="1" applyAlignment="1">
      <alignment horizontal="left"/>
    </xf>
    <xf numFmtId="2" fontId="0" fillId="0" borderId="0" xfId="0" applyNumberFormat="1" applyAlignment="1">
      <alignment horizontal="left"/>
    </xf>
    <xf numFmtId="0" fontId="50" fillId="0" borderId="0" xfId="0" applyFont="1" applyBorder="1" applyAlignment="1">
      <alignment horizontal="right"/>
    </xf>
    <xf numFmtId="2" fontId="20" fillId="0" borderId="0" xfId="0" applyNumberFormat="1" applyFont="1" applyBorder="1" applyAlignment="1">
      <alignment horizontal="right"/>
    </xf>
    <xf numFmtId="2" fontId="0" fillId="0" borderId="0" xfId="0" applyNumberFormat="1" applyAlignment="1">
      <alignment horizontal="right"/>
    </xf>
    <xf numFmtId="0" fontId="50" fillId="0" borderId="0" xfId="0" applyFont="1" applyAlignment="1">
      <alignment horizontal="right"/>
    </xf>
    <xf numFmtId="0" fontId="49" fillId="0" borderId="0" xfId="0" applyFont="1"/>
    <xf numFmtId="16" fontId="0" fillId="0" borderId="13" xfId="0" applyNumberFormat="1" applyBorder="1" applyAlignment="1">
      <alignment horizontal="left"/>
    </xf>
    <xf numFmtId="0" fontId="0" fillId="0" borderId="15" xfId="0" applyBorder="1" applyAlignment="1">
      <alignment horizontal="left"/>
    </xf>
    <xf numFmtId="0" fontId="0" fillId="0" borderId="10" xfId="0" applyBorder="1" applyAlignment="1" applyProtection="1">
      <alignment horizontal="right"/>
      <protection locked="0"/>
    </xf>
    <xf numFmtId="0" fontId="0" fillId="0" borderId="12" xfId="0" applyBorder="1" applyProtection="1">
      <protection locked="0"/>
    </xf>
    <xf numFmtId="0" fontId="14" fillId="0" borderId="10" xfId="629" applyBorder="1" applyAlignment="1" applyProtection="1">
      <alignment horizontal="left"/>
      <protection locked="0"/>
    </xf>
    <xf numFmtId="0" fontId="14" fillId="0" borderId="12" xfId="629" applyBorder="1" applyAlignment="1" applyProtection="1">
      <alignment horizontal="left"/>
      <protection locked="0"/>
    </xf>
    <xf numFmtId="0" fontId="17" fillId="0" borderId="0" xfId="629" applyFont="1" applyBorder="1" applyProtection="1">
      <protection locked="0"/>
    </xf>
    <xf numFmtId="0" fontId="14" fillId="0" borderId="0" xfId="629" applyBorder="1" applyProtection="1">
      <protection locked="0"/>
    </xf>
    <xf numFmtId="0" fontId="0" fillId="0" borderId="14" xfId="0" applyBorder="1" applyAlignment="1" applyProtection="1">
      <alignment horizontal="left"/>
      <protection locked="0"/>
    </xf>
    <xf numFmtId="0" fontId="14" fillId="0" borderId="13" xfId="629" applyBorder="1" applyAlignment="1" applyProtection="1">
      <alignment horizontal="left"/>
      <protection locked="0"/>
    </xf>
    <xf numFmtId="0" fontId="14" fillId="0" borderId="14" xfId="629" applyBorder="1" applyAlignment="1" applyProtection="1">
      <alignment horizontal="left"/>
      <protection locked="0"/>
    </xf>
    <xf numFmtId="0" fontId="14" fillId="0" borderId="0" xfId="629" applyProtection="1">
      <protection locked="0"/>
    </xf>
    <xf numFmtId="0" fontId="0" fillId="0" borderId="17" xfId="0" applyBorder="1" applyAlignment="1" applyProtection="1">
      <alignment horizontal="left"/>
      <protection locked="0"/>
    </xf>
    <xf numFmtId="0" fontId="14" fillId="0" borderId="15" xfId="629" applyFont="1" applyBorder="1" applyAlignment="1" applyProtection="1">
      <alignment horizontal="left"/>
      <protection locked="0"/>
    </xf>
    <xf numFmtId="0" fontId="14" fillId="0" borderId="17" xfId="629" applyBorder="1" applyAlignment="1" applyProtection="1">
      <alignment horizontal="left"/>
      <protection locked="0"/>
    </xf>
    <xf numFmtId="0" fontId="14" fillId="0" borderId="10" xfId="629" applyFont="1" applyBorder="1" applyProtection="1">
      <protection locked="0"/>
    </xf>
    <xf numFmtId="0" fontId="14" fillId="0" borderId="11" xfId="629" applyBorder="1" applyProtection="1">
      <protection locked="0"/>
    </xf>
    <xf numFmtId="0" fontId="14" fillId="0" borderId="11" xfId="629" applyBorder="1" applyAlignment="1" applyProtection="1">
      <alignment horizontal="left"/>
      <protection locked="0"/>
    </xf>
    <xf numFmtId="0" fontId="14" fillId="0" borderId="13" xfId="629" applyBorder="1" applyProtection="1">
      <protection locked="0"/>
    </xf>
    <xf numFmtId="0" fontId="14" fillId="0" borderId="15" xfId="629" applyBorder="1" applyProtection="1">
      <protection locked="0"/>
    </xf>
    <xf numFmtId="0" fontId="14" fillId="0" borderId="16" xfId="629" applyBorder="1" applyProtection="1">
      <protection locked="0"/>
    </xf>
    <xf numFmtId="0" fontId="0" fillId="0" borderId="21" xfId="0" applyBorder="1" applyAlignment="1" applyProtection="1">
      <alignment horizontal="right"/>
      <protection locked="0"/>
    </xf>
    <xf numFmtId="0" fontId="0" fillId="0" borderId="22" xfId="0" applyBorder="1" applyAlignment="1" applyProtection="1">
      <alignment horizontal="left"/>
      <protection locked="0"/>
    </xf>
    <xf numFmtId="0" fontId="0" fillId="0" borderId="23" xfId="0" applyBorder="1" applyAlignment="1" applyProtection="1">
      <alignment horizontal="left"/>
      <protection locked="0"/>
    </xf>
    <xf numFmtId="0" fontId="0" fillId="0" borderId="24" xfId="0" applyFill="1" applyBorder="1" applyAlignment="1" applyProtection="1">
      <alignment horizontal="right"/>
      <protection locked="0"/>
    </xf>
    <xf numFmtId="0" fontId="0" fillId="0" borderId="25" xfId="0" applyBorder="1" applyAlignment="1" applyProtection="1">
      <alignment horizontal="left"/>
      <protection locked="0"/>
    </xf>
    <xf numFmtId="0" fontId="0" fillId="0" borderId="0" xfId="0" applyFill="1" applyBorder="1" applyAlignment="1" applyProtection="1">
      <alignment horizontal="left"/>
      <protection locked="0"/>
    </xf>
    <xf numFmtId="2" fontId="0" fillId="24" borderId="0" xfId="0" applyNumberFormat="1" applyFill="1" applyAlignment="1" applyProtection="1">
      <alignment horizontal="left"/>
      <protection locked="0"/>
    </xf>
    <xf numFmtId="0" fontId="38" fillId="0" borderId="25" xfId="0" applyFont="1" applyBorder="1" applyProtection="1">
      <protection locked="0"/>
    </xf>
    <xf numFmtId="0" fontId="0" fillId="0" borderId="12" xfId="0" applyBorder="1" applyAlignment="1" applyProtection="1">
      <alignment horizontal="left"/>
      <protection locked="0"/>
    </xf>
    <xf numFmtId="0" fontId="24" fillId="0" borderId="24" xfId="0" applyFont="1" applyBorder="1" applyAlignment="1" applyProtection="1">
      <alignment horizontal="right"/>
      <protection locked="0"/>
    </xf>
    <xf numFmtId="0" fontId="26" fillId="0" borderId="19" xfId="0" applyFont="1" applyBorder="1" applyProtection="1">
      <protection locked="0"/>
    </xf>
    <xf numFmtId="0" fontId="24" fillId="0" borderId="0" xfId="0" applyFont="1" applyBorder="1" applyAlignment="1" applyProtection="1">
      <alignment horizontal="right"/>
      <protection locked="0"/>
    </xf>
    <xf numFmtId="0" fontId="24" fillId="0" borderId="0" xfId="0" applyFont="1" applyBorder="1" applyProtection="1">
      <protection locked="0"/>
    </xf>
    <xf numFmtId="0" fontId="24" fillId="0" borderId="0" xfId="0" applyFont="1" applyProtection="1">
      <protection locked="0"/>
    </xf>
    <xf numFmtId="0" fontId="24" fillId="0" borderId="24" xfId="0" applyFont="1" applyBorder="1" applyProtection="1">
      <protection locked="0"/>
    </xf>
    <xf numFmtId="0" fontId="26" fillId="0" borderId="19" xfId="0" applyFont="1" applyBorder="1" applyAlignment="1" applyProtection="1">
      <alignment horizontal="left"/>
      <protection locked="0"/>
    </xf>
    <xf numFmtId="0" fontId="58" fillId="25" borderId="0" xfId="0" applyFont="1" applyFill="1"/>
    <xf numFmtId="0" fontId="24" fillId="25" borderId="0" xfId="0" applyFont="1" applyFill="1" applyBorder="1" applyAlignment="1" applyProtection="1">
      <alignment horizontal="right"/>
      <protection locked="0"/>
    </xf>
    <xf numFmtId="0" fontId="24" fillId="25" borderId="0" xfId="0" applyFont="1" applyFill="1" applyAlignment="1" applyProtection="1">
      <alignment horizontal="right"/>
      <protection locked="0"/>
    </xf>
    <xf numFmtId="0" fontId="0" fillId="0" borderId="0" xfId="0" applyAlignment="1" applyProtection="1">
      <alignment horizontal="right"/>
    </xf>
    <xf numFmtId="0" fontId="0" fillId="0" borderId="18" xfId="0" applyBorder="1" applyAlignment="1" applyProtection="1">
      <alignment horizontal="right"/>
    </xf>
    <xf numFmtId="2" fontId="0" fillId="0" borderId="18" xfId="0" applyNumberFormat="1" applyBorder="1" applyProtection="1"/>
    <xf numFmtId="0" fontId="0" fillId="0" borderId="18" xfId="0" applyBorder="1" applyProtection="1"/>
    <xf numFmtId="0" fontId="9" fillId="0" borderId="18" xfId="0" applyFont="1" applyBorder="1" applyProtection="1"/>
    <xf numFmtId="0" fontId="17" fillId="0" borderId="18" xfId="0" applyFont="1" applyBorder="1" applyAlignment="1" applyProtection="1">
      <alignment horizontal="left"/>
    </xf>
    <xf numFmtId="0" fontId="0" fillId="0" borderId="18" xfId="0" applyBorder="1" applyAlignment="1" applyProtection="1">
      <alignment horizontal="left"/>
    </xf>
    <xf numFmtId="0" fontId="18" fillId="0" borderId="18" xfId="0" applyFont="1" applyBorder="1" applyAlignment="1" applyProtection="1">
      <alignment horizontal="left"/>
    </xf>
    <xf numFmtId="0" fontId="0" fillId="0" borderId="26" xfId="0" applyBorder="1" applyAlignment="1" applyProtection="1">
      <alignment horizontal="left"/>
    </xf>
    <xf numFmtId="0" fontId="0" fillId="0" borderId="0" xfId="0" applyBorder="1" applyAlignment="1" applyProtection="1">
      <alignment horizontal="left"/>
    </xf>
    <xf numFmtId="0" fontId="0" fillId="0" borderId="0" xfId="0" applyAlignment="1" applyProtection="1">
      <alignment horizontal="left"/>
    </xf>
    <xf numFmtId="0" fontId="9" fillId="0" borderId="0" xfId="0" applyFont="1" applyProtection="1"/>
    <xf numFmtId="0" fontId="9" fillId="0" borderId="18" xfId="0" applyFont="1" applyBorder="1" applyAlignment="1" applyProtection="1">
      <alignment horizontal="left"/>
    </xf>
    <xf numFmtId="0" fontId="18" fillId="0" borderId="18" xfId="0" applyFont="1" applyBorder="1" applyAlignment="1" applyProtection="1">
      <alignment horizontal="center"/>
    </xf>
    <xf numFmtId="0" fontId="14" fillId="0" borderId="0" xfId="0" applyFont="1" applyBorder="1" applyAlignment="1" applyProtection="1">
      <alignment horizontal="left"/>
    </xf>
    <xf numFmtId="0" fontId="12" fillId="0" borderId="0" xfId="0" applyFont="1" applyBorder="1" applyAlignment="1" applyProtection="1">
      <alignment horizontal="left"/>
    </xf>
    <xf numFmtId="0" fontId="38" fillId="0" borderId="0" xfId="0" applyFont="1" applyBorder="1" applyAlignment="1" applyProtection="1">
      <alignment horizontal="left"/>
    </xf>
    <xf numFmtId="0" fontId="16" fillId="0" borderId="0" xfId="0" applyFont="1" applyAlignment="1" applyProtection="1">
      <alignment horizontal="right"/>
      <protection locked="0"/>
    </xf>
    <xf numFmtId="0" fontId="24" fillId="0" borderId="0" xfId="0" applyFont="1" applyAlignment="1" applyProtection="1">
      <alignment horizontal="left"/>
      <protection locked="0"/>
    </xf>
    <xf numFmtId="1" fontId="24" fillId="0" borderId="0" xfId="0" applyNumberFormat="1" applyFont="1" applyProtection="1">
      <protection locked="0"/>
    </xf>
    <xf numFmtId="0" fontId="24" fillId="0" borderId="18" xfId="0" applyFont="1" applyBorder="1" applyProtection="1">
      <protection locked="0"/>
    </xf>
    <xf numFmtId="1" fontId="24" fillId="0" borderId="18" xfId="0" applyNumberFormat="1" applyFont="1" applyBorder="1" applyProtection="1">
      <protection locked="0"/>
    </xf>
    <xf numFmtId="0" fontId="11" fillId="0" borderId="0" xfId="0" applyFont="1" applyBorder="1" applyProtection="1"/>
    <xf numFmtId="0" fontId="15" fillId="0" borderId="0" xfId="0" applyFont="1" applyBorder="1" applyProtection="1"/>
    <xf numFmtId="0" fontId="10" fillId="0" borderId="18" xfId="0" applyFont="1" applyBorder="1" applyProtection="1"/>
    <xf numFmtId="0" fontId="12" fillId="0" borderId="18" xfId="0" applyFont="1" applyBorder="1" applyProtection="1"/>
    <xf numFmtId="0" fontId="19" fillId="0" borderId="0" xfId="0" applyFont="1" applyProtection="1"/>
    <xf numFmtId="0" fontId="19" fillId="0" borderId="0" xfId="0" applyFont="1" applyBorder="1" applyAlignment="1" applyProtection="1">
      <alignment horizontal="left"/>
    </xf>
    <xf numFmtId="0" fontId="9" fillId="0" borderId="0" xfId="0" applyFont="1" applyBorder="1" applyAlignment="1" applyProtection="1">
      <alignment horizontal="left"/>
    </xf>
    <xf numFmtId="0" fontId="15" fillId="0" borderId="0" xfId="0" applyFont="1" applyBorder="1" applyAlignment="1" applyProtection="1">
      <alignment horizontal="left"/>
    </xf>
    <xf numFmtId="0" fontId="16" fillId="0" borderId="0" xfId="0" applyFont="1" applyAlignment="1" applyProtection="1">
      <alignment horizontal="right"/>
    </xf>
    <xf numFmtId="0" fontId="59" fillId="0" borderId="0" xfId="0" applyFont="1" applyAlignment="1" applyProtection="1">
      <alignment horizontal="right"/>
    </xf>
    <xf numFmtId="2" fontId="0" fillId="0" borderId="0" xfId="0" applyNumberFormat="1" applyAlignment="1" applyProtection="1">
      <alignment horizontal="right"/>
    </xf>
    <xf numFmtId="0" fontId="38" fillId="0" borderId="0" xfId="0" applyFont="1" applyAlignment="1" applyProtection="1">
      <alignment horizontal="right"/>
    </xf>
    <xf numFmtId="0" fontId="12" fillId="0" borderId="18" xfId="0" applyFont="1" applyBorder="1" applyAlignment="1" applyProtection="1">
      <alignment horizontal="right"/>
    </xf>
    <xf numFmtId="0" fontId="9" fillId="0" borderId="18" xfId="0" applyFont="1" applyBorder="1" applyAlignment="1" applyProtection="1">
      <alignment horizontal="right"/>
    </xf>
    <xf numFmtId="0" fontId="24" fillId="0" borderId="0" xfId="0" applyFont="1" applyAlignment="1" applyProtection="1">
      <alignment horizontal="right"/>
      <protection locked="0"/>
    </xf>
    <xf numFmtId="0" fontId="59" fillId="0" borderId="0" xfId="0" applyFont="1" applyAlignment="1">
      <alignment horizontal="left"/>
    </xf>
    <xf numFmtId="0" fontId="16" fillId="0" borderId="19" xfId="0" applyFont="1" applyBorder="1" applyAlignment="1" applyProtection="1">
      <alignment horizontal="left"/>
      <protection locked="0"/>
    </xf>
    <xf numFmtId="0" fontId="18" fillId="0" borderId="0" xfId="0" applyFont="1" applyAlignment="1" applyProtection="1">
      <alignment horizontal="left"/>
      <protection locked="0"/>
    </xf>
    <xf numFmtId="0" fontId="18" fillId="0" borderId="0" xfId="0" applyFont="1" applyBorder="1" applyAlignment="1" applyProtection="1">
      <alignment horizontal="left"/>
      <protection locked="0"/>
    </xf>
    <xf numFmtId="0" fontId="59" fillId="0" borderId="0" xfId="0" applyFont="1" applyAlignment="1" applyProtection="1">
      <alignment horizontal="left"/>
      <protection locked="0"/>
    </xf>
    <xf numFmtId="0" fontId="34" fillId="0" borderId="0" xfId="0" applyFont="1" applyProtection="1"/>
    <xf numFmtId="0" fontId="60" fillId="0" borderId="0" xfId="0" applyFont="1" applyAlignment="1">
      <alignment horizontal="left"/>
    </xf>
    <xf numFmtId="0" fontId="61" fillId="0" borderId="0" xfId="0" applyFont="1" applyAlignment="1">
      <alignment horizontal="left"/>
    </xf>
    <xf numFmtId="0" fontId="9" fillId="0" borderId="0" xfId="0" applyFont="1" applyAlignment="1" applyProtection="1">
      <alignment horizontal="left"/>
      <protection locked="0"/>
    </xf>
    <xf numFmtId="0" fontId="21" fillId="0" borderId="0" xfId="0" applyFont="1" applyAlignment="1" applyProtection="1">
      <alignment horizontal="left"/>
      <protection locked="0"/>
    </xf>
    <xf numFmtId="0" fontId="34" fillId="0" borderId="0" xfId="0" applyFont="1" applyBorder="1" applyAlignment="1" applyProtection="1">
      <alignment horizontal="left"/>
    </xf>
    <xf numFmtId="0" fontId="34" fillId="0" borderId="0" xfId="0" applyFont="1" applyAlignment="1" applyProtection="1">
      <alignment horizontal="left"/>
    </xf>
    <xf numFmtId="0" fontId="16" fillId="0" borderId="0" xfId="0" applyFont="1" applyAlignment="1" applyProtection="1">
      <alignment horizontal="left"/>
    </xf>
    <xf numFmtId="2" fontId="19" fillId="0" borderId="0" xfId="0" applyNumberFormat="1" applyFont="1" applyFill="1" applyAlignment="1" applyProtection="1">
      <alignment horizontal="left"/>
    </xf>
    <xf numFmtId="0" fontId="15" fillId="0" borderId="0" xfId="0" applyFont="1" applyProtection="1"/>
    <xf numFmtId="0" fontId="17" fillId="0" borderId="0" xfId="0" applyFont="1" applyAlignment="1" applyProtection="1">
      <alignment horizontal="left"/>
    </xf>
    <xf numFmtId="0" fontId="18" fillId="0" borderId="18" xfId="0" applyFont="1" applyBorder="1" applyAlignment="1" applyProtection="1">
      <alignment horizontal="right"/>
    </xf>
    <xf numFmtId="2" fontId="15" fillId="24" borderId="0" xfId="0" applyNumberFormat="1" applyFont="1" applyFill="1" applyAlignment="1" applyProtection="1">
      <alignment horizontal="right"/>
    </xf>
    <xf numFmtId="0" fontId="62" fillId="0" borderId="24" xfId="0" applyFont="1" applyBorder="1" applyAlignment="1" applyProtection="1">
      <alignment horizontal="right"/>
      <protection locked="0"/>
    </xf>
    <xf numFmtId="0" fontId="26" fillId="0" borderId="19" xfId="0" applyFont="1" applyBorder="1" applyAlignment="1" applyProtection="1">
      <alignment horizontal="right"/>
      <protection locked="0"/>
    </xf>
    <xf numFmtId="2" fontId="34" fillId="0" borderId="0" xfId="0" applyNumberFormat="1" applyFont="1" applyProtection="1"/>
    <xf numFmtId="0" fontId="12" fillId="0" borderId="18" xfId="0" applyFont="1" applyBorder="1" applyAlignment="1" applyProtection="1">
      <alignment horizontal="left"/>
    </xf>
    <xf numFmtId="0" fontId="62" fillId="0" borderId="24" xfId="0" applyFont="1" applyFill="1" applyBorder="1" applyAlignment="1" applyProtection="1">
      <alignment horizontal="right"/>
      <protection locked="0"/>
    </xf>
    <xf numFmtId="2" fontId="17" fillId="0" borderId="18" xfId="0" applyNumberFormat="1" applyFont="1" applyFill="1" applyBorder="1" applyAlignment="1" applyProtection="1">
      <alignment horizontal="right"/>
      <protection locked="0"/>
    </xf>
    <xf numFmtId="2" fontId="9" fillId="0" borderId="27" xfId="0" applyNumberFormat="1" applyFont="1" applyBorder="1" applyAlignment="1" applyProtection="1">
      <alignment horizontal="right"/>
      <protection locked="0"/>
    </xf>
    <xf numFmtId="2" fontId="0" fillId="0" borderId="0" xfId="0" applyNumberFormat="1" applyFill="1" applyAlignment="1" applyProtection="1">
      <alignment horizontal="right"/>
      <protection locked="0"/>
    </xf>
    <xf numFmtId="2" fontId="15" fillId="24" borderId="0" xfId="0" applyNumberFormat="1" applyFont="1" applyFill="1" applyBorder="1" applyAlignment="1" applyProtection="1">
      <alignment horizontal="right"/>
      <protection locked="0"/>
    </xf>
    <xf numFmtId="0" fontId="0" fillId="0" borderId="18" xfId="0" applyBorder="1" applyAlignment="1" applyProtection="1">
      <alignment horizontal="center"/>
    </xf>
    <xf numFmtId="0" fontId="0" fillId="0" borderId="0" xfId="0" applyAlignment="1" applyProtection="1">
      <alignment horizontal="center"/>
    </xf>
    <xf numFmtId="0" fontId="24" fillId="0" borderId="0" xfId="0" applyFont="1" applyFill="1" applyAlignment="1" applyProtection="1">
      <alignment horizontal="left"/>
      <protection locked="0"/>
    </xf>
    <xf numFmtId="0" fontId="16" fillId="0" borderId="0" xfId="0" applyFont="1" applyFill="1" applyBorder="1" applyAlignment="1" applyProtection="1">
      <alignment horizontal="left"/>
      <protection locked="0"/>
    </xf>
    <xf numFmtId="0" fontId="0" fillId="0" borderId="11" xfId="0" applyBorder="1" applyProtection="1">
      <protection locked="0"/>
    </xf>
    <xf numFmtId="0" fontId="17" fillId="0" borderId="19" xfId="0" applyFont="1" applyBorder="1" applyAlignment="1" applyProtection="1">
      <alignment horizontal="left"/>
      <protection locked="0"/>
    </xf>
    <xf numFmtId="0" fontId="18" fillId="0" borderId="0" xfId="0" applyFont="1" applyFill="1" applyAlignment="1" applyProtection="1">
      <alignment horizontal="left"/>
      <protection locked="0"/>
    </xf>
    <xf numFmtId="0" fontId="50" fillId="0" borderId="0" xfId="0" applyFont="1" applyAlignment="1" applyProtection="1">
      <alignment horizontal="right"/>
      <protection locked="0"/>
    </xf>
    <xf numFmtId="0" fontId="0" fillId="0" borderId="13" xfId="0" applyBorder="1" applyProtection="1">
      <protection locked="0"/>
    </xf>
    <xf numFmtId="0" fontId="0" fillId="0" borderId="15" xfId="0" applyBorder="1" applyProtection="1">
      <protection locked="0"/>
    </xf>
    <xf numFmtId="0" fontId="34" fillId="0" borderId="0" xfId="0" applyFont="1" applyFill="1" applyProtection="1"/>
    <xf numFmtId="0" fontId="0" fillId="0" borderId="0" xfId="0" applyFill="1" applyAlignment="1" applyProtection="1">
      <alignment horizontal="left"/>
    </xf>
    <xf numFmtId="0" fontId="24" fillId="0" borderId="24" xfId="0" applyFont="1" applyFill="1" applyBorder="1" applyAlignment="1" applyProtection="1">
      <alignment horizontal="right"/>
      <protection locked="0"/>
    </xf>
    <xf numFmtId="0" fontId="28" fillId="0" borderId="19" xfId="0" applyFont="1" applyBorder="1" applyAlignment="1" applyProtection="1">
      <alignment horizontal="right"/>
      <protection locked="0"/>
    </xf>
    <xf numFmtId="0" fontId="0" fillId="24" borderId="0" xfId="0" applyFill="1" applyAlignment="1" applyProtection="1">
      <alignment horizontal="right"/>
    </xf>
    <xf numFmtId="0" fontId="12" fillId="0" borderId="18" xfId="0" applyFont="1" applyFill="1" applyBorder="1" applyProtection="1"/>
    <xf numFmtId="0" fontId="26" fillId="0" borderId="19" xfId="0" applyFont="1" applyBorder="1" applyAlignment="1" applyProtection="1">
      <alignment horizontal="center"/>
      <protection locked="0"/>
    </xf>
    <xf numFmtId="0" fontId="12" fillId="0" borderId="0" xfId="0" applyFont="1" applyProtection="1"/>
    <xf numFmtId="164" fontId="24" fillId="0" borderId="0" xfId="0" applyNumberFormat="1" applyFont="1" applyAlignment="1" applyProtection="1">
      <alignment horizontal="right"/>
      <protection locked="0"/>
    </xf>
    <xf numFmtId="1" fontId="24" fillId="0" borderId="0" xfId="0" applyNumberFormat="1" applyFont="1" applyFill="1" applyProtection="1">
      <protection locked="0"/>
    </xf>
    <xf numFmtId="0" fontId="67" fillId="0" borderId="24" xfId="0" applyFont="1" applyBorder="1" applyAlignment="1" applyProtection="1">
      <alignment horizontal="right"/>
      <protection locked="0"/>
    </xf>
    <xf numFmtId="0" fontId="11" fillId="0" borderId="18" xfId="0" applyFont="1" applyBorder="1" applyAlignment="1" applyProtection="1">
      <alignment horizontal="right"/>
    </xf>
    <xf numFmtId="2" fontId="12" fillId="24" borderId="0" xfId="0" applyNumberFormat="1" applyFont="1" applyFill="1" applyProtection="1"/>
    <xf numFmtId="164" fontId="12" fillId="0" borderId="0" xfId="0" applyNumberFormat="1" applyFont="1" applyAlignment="1" applyProtection="1">
      <alignment horizontal="left"/>
    </xf>
    <xf numFmtId="2" fontId="12" fillId="0" borderId="0" xfId="0" applyNumberFormat="1" applyFont="1" applyFill="1" applyProtection="1"/>
    <xf numFmtId="164" fontId="12" fillId="0" borderId="0" xfId="0" applyNumberFormat="1" applyFont="1" applyBorder="1" applyAlignment="1" applyProtection="1">
      <alignment horizontal="left"/>
    </xf>
    <xf numFmtId="0" fontId="20" fillId="0" borderId="0" xfId="0" applyFont="1" applyAlignment="1" applyProtection="1">
      <alignment horizontal="left"/>
    </xf>
    <xf numFmtId="0" fontId="16" fillId="0" borderId="0" xfId="0" applyFont="1" applyBorder="1" applyAlignment="1" applyProtection="1">
      <alignment horizontal="left"/>
    </xf>
    <xf numFmtId="1" fontId="24" fillId="0" borderId="0" xfId="0" applyNumberFormat="1" applyFont="1" applyBorder="1" applyAlignment="1" applyProtection="1">
      <alignment horizontal="right"/>
      <protection locked="0"/>
    </xf>
    <xf numFmtId="164" fontId="12" fillId="0" borderId="18" xfId="0" applyNumberFormat="1" applyFont="1" applyBorder="1" applyAlignment="1" applyProtection="1">
      <alignment horizontal="left"/>
    </xf>
    <xf numFmtId="2" fontId="12" fillId="0" borderId="18" xfId="0" applyNumberFormat="1" applyFont="1" applyFill="1" applyBorder="1" applyProtection="1"/>
    <xf numFmtId="0" fontId="0" fillId="0" borderId="18" xfId="0" applyFill="1" applyBorder="1" applyAlignment="1" applyProtection="1">
      <alignment horizontal="left"/>
    </xf>
    <xf numFmtId="1" fontId="24" fillId="0" borderId="0" xfId="0" applyNumberFormat="1" applyFont="1" applyFill="1" applyAlignment="1" applyProtection="1">
      <alignment horizontal="left"/>
      <protection locked="0"/>
    </xf>
    <xf numFmtId="1" fontId="24" fillId="0" borderId="18" xfId="0" applyNumberFormat="1" applyFont="1" applyBorder="1" applyAlignment="1" applyProtection="1">
      <alignment horizontal="right"/>
      <protection locked="0"/>
    </xf>
    <xf numFmtId="1" fontId="24" fillId="0" borderId="18" xfId="0" applyNumberFormat="1" applyFont="1" applyFill="1" applyBorder="1" applyAlignment="1" applyProtection="1">
      <alignment horizontal="left"/>
      <protection locked="0"/>
    </xf>
    <xf numFmtId="0" fontId="24" fillId="0" borderId="24" xfId="0" applyFont="1" applyBorder="1" applyAlignment="1" applyProtection="1">
      <alignment horizontal="center"/>
      <protection locked="0"/>
    </xf>
    <xf numFmtId="0" fontId="9" fillId="0" borderId="18" xfId="0" applyFont="1" applyBorder="1" applyAlignment="1" applyProtection="1">
      <alignment horizontal="center"/>
    </xf>
    <xf numFmtId="2" fontId="0" fillId="24" borderId="0" xfId="0" applyNumberFormat="1" applyFill="1" applyAlignment="1" applyProtection="1">
      <alignment horizontal="center"/>
    </xf>
    <xf numFmtId="0" fontId="51" fillId="0" borderId="0" xfId="0" applyFont="1" applyProtection="1"/>
    <xf numFmtId="2" fontId="0" fillId="0" borderId="0" xfId="0" applyNumberFormat="1" applyFill="1" applyAlignment="1" applyProtection="1">
      <alignment horizontal="left"/>
    </xf>
    <xf numFmtId="1" fontId="12" fillId="0" borderId="0" xfId="0" applyNumberFormat="1" applyFont="1" applyBorder="1" applyAlignment="1" applyProtection="1">
      <alignment horizontal="left"/>
    </xf>
    <xf numFmtId="1" fontId="12" fillId="0" borderId="18" xfId="0" applyNumberFormat="1" applyFont="1" applyBorder="1" applyAlignment="1" applyProtection="1">
      <alignment horizontal="left"/>
    </xf>
    <xf numFmtId="2" fontId="0" fillId="0" borderId="18" xfId="0" applyNumberFormat="1" applyFill="1" applyBorder="1" applyAlignment="1" applyProtection="1">
      <alignment horizontal="left"/>
    </xf>
    <xf numFmtId="0" fontId="50" fillId="0" borderId="0" xfId="0" applyFont="1" applyAlignment="1" applyProtection="1">
      <alignment horizontal="left"/>
      <protection locked="0"/>
    </xf>
    <xf numFmtId="0" fontId="50" fillId="0" borderId="0" xfId="0" applyFont="1" applyBorder="1" applyAlignment="1" applyProtection="1">
      <alignment horizontal="left"/>
      <protection locked="0"/>
    </xf>
    <xf numFmtId="0" fontId="51" fillId="0" borderId="0" xfId="0" applyFont="1" applyBorder="1" applyAlignment="1" applyProtection="1">
      <alignment horizontal="left"/>
      <protection locked="0"/>
    </xf>
    <xf numFmtId="0" fontId="34" fillId="0" borderId="0" xfId="0" applyFont="1" applyBorder="1" applyAlignment="1" applyProtection="1">
      <alignment horizontal="right"/>
    </xf>
    <xf numFmtId="0" fontId="34" fillId="0" borderId="0" xfId="0" applyFont="1" applyBorder="1" applyProtection="1"/>
    <xf numFmtId="0" fontId="31" fillId="0" borderId="0" xfId="628" applyFont="1"/>
    <xf numFmtId="0" fontId="32" fillId="0" borderId="0" xfId="628" applyFont="1"/>
    <xf numFmtId="0" fontId="12" fillId="0" borderId="0" xfId="628"/>
    <xf numFmtId="0" fontId="15" fillId="0" borderId="0" xfId="628" applyFont="1"/>
    <xf numFmtId="0" fontId="12" fillId="0" borderId="0" xfId="628" applyAlignment="1">
      <alignment horizontal="left"/>
    </xf>
    <xf numFmtId="0" fontId="12" fillId="0" borderId="0" xfId="628" applyBorder="1" applyAlignment="1">
      <alignment horizontal="left"/>
    </xf>
    <xf numFmtId="0" fontId="20" fillId="0" borderId="0" xfId="628" applyFont="1" applyAlignment="1">
      <alignment horizontal="left"/>
    </xf>
    <xf numFmtId="0" fontId="16" fillId="0" borderId="0" xfId="628" applyFont="1" applyAlignment="1">
      <alignment horizontal="left"/>
    </xf>
    <xf numFmtId="0" fontId="19" fillId="0" borderId="0" xfId="628" applyFont="1" applyAlignment="1">
      <alignment horizontal="left"/>
    </xf>
    <xf numFmtId="0" fontId="15" fillId="0" borderId="0" xfId="628" applyFont="1" applyAlignment="1">
      <alignment horizontal="right"/>
    </xf>
    <xf numFmtId="0" fontId="15" fillId="0" borderId="0" xfId="628" applyFont="1" applyAlignment="1">
      <alignment horizontal="left"/>
    </xf>
    <xf numFmtId="0" fontId="9" fillId="0" borderId="0" xfId="628" applyFont="1" applyAlignment="1">
      <alignment horizontal="left"/>
    </xf>
    <xf numFmtId="0" fontId="15" fillId="0" borderId="0" xfId="628" applyFont="1" applyBorder="1" applyAlignment="1">
      <alignment horizontal="left"/>
    </xf>
    <xf numFmtId="0" fontId="12" fillId="0" borderId="0" xfId="628" applyAlignment="1">
      <alignment horizontal="right"/>
    </xf>
    <xf numFmtId="0" fontId="12" fillId="0" borderId="18" xfId="628" applyBorder="1"/>
    <xf numFmtId="0" fontId="20" fillId="0" borderId="0" xfId="628" applyFont="1" applyAlignment="1" applyProtection="1">
      <alignment horizontal="left"/>
      <protection locked="0"/>
    </xf>
    <xf numFmtId="0" fontId="14" fillId="0" borderId="0" xfId="628" applyFont="1" applyBorder="1" applyAlignment="1">
      <alignment horizontal="left"/>
    </xf>
    <xf numFmtId="0" fontId="47" fillId="0" borderId="19" xfId="628" applyFont="1" applyBorder="1" applyAlignment="1" applyProtection="1">
      <alignment horizontal="left"/>
      <protection locked="0"/>
    </xf>
    <xf numFmtId="0" fontId="45" fillId="0" borderId="19" xfId="628" applyFont="1" applyBorder="1" applyAlignment="1" applyProtection="1">
      <alignment horizontal="left"/>
      <protection locked="0"/>
    </xf>
    <xf numFmtId="0" fontId="45" fillId="0" borderId="0" xfId="628" applyFont="1" applyBorder="1" applyAlignment="1" applyProtection="1">
      <alignment horizontal="left"/>
      <protection locked="0"/>
    </xf>
    <xf numFmtId="0" fontId="46" fillId="0" borderId="0" xfId="628" applyFont="1" applyBorder="1" applyAlignment="1" applyProtection="1">
      <alignment horizontal="left"/>
      <protection locked="0"/>
    </xf>
    <xf numFmtId="0" fontId="12" fillId="0" borderId="0" xfId="628" applyBorder="1" applyAlignment="1" applyProtection="1">
      <alignment horizontal="left"/>
      <protection locked="0"/>
    </xf>
    <xf numFmtId="0" fontId="12" fillId="0" borderId="0" xfId="628" applyProtection="1">
      <protection locked="0"/>
    </xf>
    <xf numFmtId="0" fontId="9" fillId="0" borderId="0" xfId="628" applyFont="1" applyBorder="1" applyAlignment="1" applyProtection="1">
      <alignment horizontal="left"/>
    </xf>
    <xf numFmtId="0" fontId="12" fillId="0" borderId="0" xfId="628" applyProtection="1"/>
    <xf numFmtId="0" fontId="34" fillId="0" borderId="0" xfId="628" applyFont="1" applyBorder="1" applyAlignment="1" applyProtection="1">
      <alignment horizontal="left"/>
    </xf>
    <xf numFmtId="0" fontId="34" fillId="0" borderId="0" xfId="628" applyFont="1" applyProtection="1"/>
    <xf numFmtId="0" fontId="34" fillId="0" borderId="0" xfId="628" applyFont="1" applyProtection="1">
      <protection locked="0"/>
    </xf>
    <xf numFmtId="0" fontId="34" fillId="0" borderId="0" xfId="628" applyFont="1"/>
    <xf numFmtId="164" fontId="12" fillId="0" borderId="0" xfId="628" applyNumberFormat="1" applyFont="1" applyBorder="1" applyAlignment="1" applyProtection="1">
      <alignment horizontal="left"/>
    </xf>
    <xf numFmtId="2" fontId="12" fillId="0" borderId="0" xfId="628" applyNumberFormat="1" applyFill="1" applyAlignment="1" applyProtection="1">
      <alignment horizontal="left"/>
    </xf>
    <xf numFmtId="0" fontId="12" fillId="0" borderId="18" xfId="628" applyFont="1" applyBorder="1" applyAlignment="1" applyProtection="1">
      <alignment horizontal="left"/>
    </xf>
    <xf numFmtId="2" fontId="12" fillId="0" borderId="18" xfId="628" applyNumberFormat="1" applyFill="1" applyBorder="1" applyAlignment="1" applyProtection="1">
      <alignment horizontal="left"/>
    </xf>
    <xf numFmtId="1" fontId="24" fillId="0" borderId="0" xfId="628" applyNumberFormat="1" applyFont="1" applyBorder="1" applyAlignment="1" applyProtection="1">
      <alignment horizontal="right"/>
      <protection locked="0"/>
    </xf>
    <xf numFmtId="1" fontId="24" fillId="0" borderId="0" xfId="628" applyNumberFormat="1" applyFont="1" applyFill="1" applyAlignment="1" applyProtection="1">
      <alignment horizontal="left"/>
      <protection locked="0"/>
    </xf>
    <xf numFmtId="1" fontId="24" fillId="0" borderId="18" xfId="628" applyNumberFormat="1" applyFont="1" applyBorder="1" applyAlignment="1" applyProtection="1">
      <alignment horizontal="right"/>
      <protection locked="0"/>
    </xf>
    <xf numFmtId="1" fontId="24" fillId="0" borderId="18" xfId="628" applyNumberFormat="1" applyFont="1" applyFill="1" applyBorder="1" applyAlignment="1" applyProtection="1">
      <alignment horizontal="left"/>
      <protection locked="0"/>
    </xf>
    <xf numFmtId="0" fontId="12" fillId="0" borderId="0" xfId="628" applyAlignment="1" applyProtection="1">
      <alignment horizontal="right"/>
      <protection locked="0"/>
    </xf>
    <xf numFmtId="0" fontId="9" fillId="0" borderId="0" xfId="628" applyFont="1" applyBorder="1" applyAlignment="1" applyProtection="1">
      <alignment horizontal="left"/>
      <protection locked="0"/>
    </xf>
    <xf numFmtId="0" fontId="12" fillId="0" borderId="18" xfId="628" applyBorder="1" applyProtection="1">
      <protection locked="0"/>
    </xf>
    <xf numFmtId="0" fontId="15" fillId="0" borderId="0" xfId="628" applyFont="1" applyProtection="1"/>
    <xf numFmtId="0" fontId="9" fillId="0" borderId="19" xfId="628" applyFont="1" applyBorder="1" applyProtection="1">
      <protection locked="0"/>
    </xf>
    <xf numFmtId="0" fontId="9" fillId="0" borderId="0" xfId="628" applyFont="1" applyProtection="1">
      <protection locked="0"/>
    </xf>
    <xf numFmtId="0" fontId="12" fillId="0" borderId="18" xfId="628" applyBorder="1" applyAlignment="1" applyProtection="1">
      <alignment horizontal="left"/>
    </xf>
    <xf numFmtId="165" fontId="12" fillId="0" borderId="18" xfId="628" applyNumberFormat="1" applyBorder="1" applyAlignment="1" applyProtection="1">
      <alignment horizontal="left"/>
    </xf>
    <xf numFmtId="0" fontId="24" fillId="0" borderId="24" xfId="628" applyFont="1" applyBorder="1" applyAlignment="1" applyProtection="1">
      <alignment horizontal="center"/>
      <protection locked="0"/>
    </xf>
    <xf numFmtId="2" fontId="9" fillId="0" borderId="18" xfId="628" applyNumberFormat="1" applyFont="1" applyBorder="1" applyAlignment="1" applyProtection="1">
      <alignment horizontal="center"/>
    </xf>
    <xf numFmtId="0" fontId="12" fillId="0" borderId="0" xfId="628" applyAlignment="1" applyProtection="1">
      <alignment horizontal="left"/>
    </xf>
    <xf numFmtId="165" fontId="12" fillId="0" borderId="0" xfId="628" applyNumberFormat="1" applyAlignment="1" applyProtection="1">
      <alignment horizontal="left"/>
    </xf>
    <xf numFmtId="0" fontId="26" fillId="0" borderId="19" xfId="628" applyFont="1" applyBorder="1" applyAlignment="1" applyProtection="1">
      <alignment horizontal="center"/>
      <protection locked="0"/>
    </xf>
    <xf numFmtId="2" fontId="12" fillId="24" borderId="0" xfId="628" applyNumberFormat="1" applyFill="1" applyAlignment="1" applyProtection="1">
      <alignment horizontal="center"/>
    </xf>
    <xf numFmtId="0" fontId="12" fillId="0" borderId="0" xfId="628" applyBorder="1" applyAlignment="1" applyProtection="1">
      <alignment horizontal="left"/>
    </xf>
    <xf numFmtId="0" fontId="12" fillId="0" borderId="0" xfId="628" applyAlignment="1" applyProtection="1">
      <alignment horizontal="center"/>
      <protection locked="0"/>
    </xf>
    <xf numFmtId="2" fontId="12" fillId="0" borderId="0" xfId="628" applyNumberFormat="1" applyAlignment="1" applyProtection="1">
      <alignment horizontal="center"/>
      <protection locked="0"/>
    </xf>
    <xf numFmtId="0" fontId="12" fillId="0" borderId="0" xfId="628" applyAlignment="1">
      <alignment horizontal="center"/>
    </xf>
    <xf numFmtId="2" fontId="12" fillId="0" borderId="0" xfId="628" applyNumberFormat="1" applyAlignment="1">
      <alignment horizontal="center"/>
    </xf>
    <xf numFmtId="0" fontId="59" fillId="0" borderId="0" xfId="628" applyFont="1"/>
    <xf numFmtId="0" fontId="59" fillId="0" borderId="0" xfId="628" applyFont="1" applyAlignment="1">
      <alignment horizontal="left"/>
    </xf>
    <xf numFmtId="0" fontId="59" fillId="0" borderId="0" xfId="628" applyFont="1" applyBorder="1" applyAlignment="1">
      <alignment horizontal="left"/>
    </xf>
    <xf numFmtId="0" fontId="61" fillId="0" borderId="0" xfId="628" applyFont="1" applyAlignment="1">
      <alignment horizontal="left"/>
    </xf>
    <xf numFmtId="0" fontId="59" fillId="0" borderId="0" xfId="628" applyFont="1" applyAlignment="1">
      <alignment horizontal="right"/>
    </xf>
    <xf numFmtId="0" fontId="59" fillId="0" borderId="18" xfId="628" applyFont="1" applyBorder="1" applyAlignment="1">
      <alignment horizontal="left"/>
    </xf>
    <xf numFmtId="0" fontId="59" fillId="0" borderId="18" xfId="628" applyFont="1" applyBorder="1" applyAlignment="1">
      <alignment horizontal="right"/>
    </xf>
    <xf numFmtId="0" fontId="59" fillId="0" borderId="18" xfId="628" applyFont="1" applyBorder="1"/>
    <xf numFmtId="0" fontId="59" fillId="0" borderId="0" xfId="628" applyFont="1" applyAlignment="1" applyProtection="1">
      <alignment horizontal="left"/>
      <protection locked="0"/>
    </xf>
    <xf numFmtId="0" fontId="17" fillId="0" borderId="19" xfId="628" applyFont="1" applyBorder="1" applyAlignment="1" applyProtection="1">
      <alignment horizontal="left"/>
      <protection locked="0"/>
    </xf>
    <xf numFmtId="0" fontId="71" fillId="0" borderId="0" xfId="628" applyFont="1"/>
    <xf numFmtId="0" fontId="33" fillId="0" borderId="19" xfId="628" applyFont="1" applyBorder="1" applyAlignment="1" applyProtection="1">
      <alignment horizontal="left"/>
      <protection locked="0"/>
    </xf>
    <xf numFmtId="0" fontId="50" fillId="0" borderId="0" xfId="628" applyFont="1" applyAlignment="1" applyProtection="1">
      <alignment horizontal="left"/>
      <protection locked="0"/>
    </xf>
    <xf numFmtId="0" fontId="33" fillId="0" borderId="0" xfId="628" applyFont="1" applyAlignment="1" applyProtection="1">
      <alignment horizontal="left"/>
      <protection locked="0"/>
    </xf>
    <xf numFmtId="0" fontId="33" fillId="0" borderId="0" xfId="628" applyFont="1" applyBorder="1" applyAlignment="1" applyProtection="1">
      <alignment horizontal="left"/>
      <protection locked="0"/>
    </xf>
    <xf numFmtId="0" fontId="50" fillId="0" borderId="0" xfId="628" applyFont="1" applyBorder="1" applyAlignment="1" applyProtection="1">
      <alignment horizontal="left"/>
      <protection locked="0"/>
    </xf>
    <xf numFmtId="0" fontId="59" fillId="0" borderId="0" xfId="628" applyFont="1" applyBorder="1" applyAlignment="1" applyProtection="1">
      <alignment horizontal="left"/>
      <protection locked="0"/>
    </xf>
    <xf numFmtId="0" fontId="59" fillId="0" borderId="0" xfId="628" applyFont="1" applyProtection="1">
      <protection locked="0"/>
    </xf>
    <xf numFmtId="0" fontId="61" fillId="0" borderId="0" xfId="628" applyFont="1" applyBorder="1" applyAlignment="1" applyProtection="1">
      <alignment horizontal="left"/>
    </xf>
    <xf numFmtId="0" fontId="59" fillId="0" borderId="0" xfId="628" applyFont="1" applyProtection="1"/>
    <xf numFmtId="0" fontId="72" fillId="0" borderId="0" xfId="628" applyFont="1" applyBorder="1" applyAlignment="1" applyProtection="1">
      <alignment horizontal="left"/>
    </xf>
    <xf numFmtId="0" fontId="72" fillId="0" borderId="0" xfId="628" applyFont="1" applyProtection="1"/>
    <xf numFmtId="0" fontId="72" fillId="0" borderId="0" xfId="628" applyFont="1" applyProtection="1">
      <protection locked="0"/>
    </xf>
    <xf numFmtId="0" fontId="72" fillId="0" borderId="0" xfId="628" applyFont="1"/>
    <xf numFmtId="2" fontId="59" fillId="0" borderId="0" xfId="628" applyNumberFormat="1" applyFont="1" applyFill="1" applyAlignment="1" applyProtection="1">
      <alignment horizontal="left"/>
    </xf>
    <xf numFmtId="0" fontId="59" fillId="0" borderId="18" xfId="628" applyFont="1" applyBorder="1" applyAlignment="1" applyProtection="1">
      <alignment horizontal="left"/>
    </xf>
    <xf numFmtId="1" fontId="73" fillId="0" borderId="0" xfId="628" applyNumberFormat="1" applyFont="1" applyBorder="1" applyAlignment="1" applyProtection="1">
      <alignment horizontal="right"/>
      <protection locked="0"/>
    </xf>
    <xf numFmtId="1" fontId="73" fillId="0" borderId="18" xfId="628" applyNumberFormat="1" applyFont="1" applyBorder="1" applyAlignment="1" applyProtection="1">
      <alignment horizontal="right"/>
      <protection locked="0"/>
    </xf>
    <xf numFmtId="0" fontId="59" fillId="0" borderId="0" xfId="628" applyFont="1" applyAlignment="1" applyProtection="1">
      <alignment horizontal="right"/>
      <protection locked="0"/>
    </xf>
    <xf numFmtId="0" fontId="61" fillId="0" borderId="0" xfId="628" applyFont="1" applyBorder="1" applyAlignment="1" applyProtection="1">
      <alignment horizontal="left"/>
      <protection locked="0"/>
    </xf>
    <xf numFmtId="0" fontId="61" fillId="0" borderId="18" xfId="628" applyFont="1" applyBorder="1" applyAlignment="1" applyProtection="1">
      <alignment horizontal="left"/>
      <protection locked="0"/>
    </xf>
    <xf numFmtId="0" fontId="59" fillId="0" borderId="18" xfId="628" applyFont="1" applyBorder="1" applyProtection="1">
      <protection locked="0"/>
    </xf>
    <xf numFmtId="0" fontId="74" fillId="0" borderId="0" xfId="628" applyFont="1" applyBorder="1" applyProtection="1">
      <protection locked="0"/>
    </xf>
    <xf numFmtId="0" fontId="61" fillId="0" borderId="19" xfId="628" applyFont="1" applyBorder="1" applyProtection="1">
      <protection locked="0"/>
    </xf>
    <xf numFmtId="0" fontId="61" fillId="0" borderId="0" xfId="628" applyFont="1" applyProtection="1">
      <protection locked="0"/>
    </xf>
    <xf numFmtId="0" fontId="73" fillId="0" borderId="24" xfId="628" applyFont="1" applyBorder="1" applyAlignment="1" applyProtection="1">
      <alignment horizontal="center"/>
      <protection locked="0"/>
    </xf>
    <xf numFmtId="2" fontId="61" fillId="0" borderId="18" xfId="628" applyNumberFormat="1" applyFont="1" applyBorder="1" applyAlignment="1" applyProtection="1">
      <alignment horizontal="center"/>
    </xf>
    <xf numFmtId="0" fontId="59" fillId="0" borderId="0" xfId="628" applyFont="1" applyAlignment="1" applyProtection="1">
      <alignment horizontal="left"/>
    </xf>
    <xf numFmtId="0" fontId="75" fillId="0" borderId="19" xfId="628" applyFont="1" applyBorder="1" applyAlignment="1" applyProtection="1">
      <alignment horizontal="center"/>
      <protection locked="0"/>
    </xf>
    <xf numFmtId="2" fontId="59" fillId="24" borderId="0" xfId="628" applyNumberFormat="1" applyFont="1" applyFill="1" applyAlignment="1" applyProtection="1">
      <alignment horizontal="center"/>
    </xf>
    <xf numFmtId="0" fontId="59" fillId="0" borderId="0" xfId="628" applyFont="1" applyAlignment="1" applyProtection="1">
      <alignment horizontal="center"/>
      <protection locked="0"/>
    </xf>
    <xf numFmtId="2" fontId="59" fillId="0" borderId="0" xfId="628" applyNumberFormat="1" applyFont="1" applyAlignment="1" applyProtection="1">
      <alignment horizontal="center"/>
      <protection locked="0"/>
    </xf>
    <xf numFmtId="0" fontId="59" fillId="0" borderId="0" xfId="628" applyFont="1" applyAlignment="1">
      <alignment horizontal="center"/>
    </xf>
    <xf numFmtId="2" fontId="59" fillId="0" borderId="0" xfId="628" applyNumberFormat="1" applyFont="1" applyAlignment="1">
      <alignment horizontal="center"/>
    </xf>
    <xf numFmtId="164" fontId="59" fillId="0" borderId="0" xfId="628" applyNumberFormat="1" applyFont="1" applyAlignment="1" applyProtection="1">
      <alignment horizontal="left"/>
      <protection locked="0"/>
    </xf>
    <xf numFmtId="2" fontId="59" fillId="0" borderId="0" xfId="628" applyNumberFormat="1" applyFont="1" applyAlignment="1" applyProtection="1">
      <alignment horizontal="left"/>
      <protection locked="0"/>
    </xf>
    <xf numFmtId="164" fontId="59" fillId="0" borderId="0" xfId="628" applyNumberFormat="1" applyFont="1" applyBorder="1" applyAlignment="1" applyProtection="1">
      <alignment horizontal="left"/>
      <protection locked="0"/>
    </xf>
    <xf numFmtId="1" fontId="73" fillId="0" borderId="0" xfId="628" applyNumberFormat="1" applyFont="1" applyFill="1" applyAlignment="1" applyProtection="1">
      <alignment horizontal="center"/>
      <protection locked="0"/>
    </xf>
    <xf numFmtId="1" fontId="73" fillId="0" borderId="18" xfId="628" applyNumberFormat="1" applyFont="1" applyFill="1" applyBorder="1" applyAlignment="1" applyProtection="1">
      <alignment horizontal="center"/>
      <protection locked="0"/>
    </xf>
    <xf numFmtId="1" fontId="59" fillId="0" borderId="19" xfId="483" applyNumberFormat="1" applyFont="1" applyBorder="1" applyAlignment="1">
      <alignment horizontal="center"/>
    </xf>
    <xf numFmtId="0" fontId="59" fillId="0" borderId="19" xfId="483" applyFont="1" applyFill="1" applyBorder="1" applyAlignment="1">
      <alignment horizontal="center"/>
    </xf>
    <xf numFmtId="1" fontId="59" fillId="0" borderId="18" xfId="628" applyNumberFormat="1" applyFont="1" applyBorder="1" applyAlignment="1" applyProtection="1">
      <alignment horizontal="center"/>
    </xf>
    <xf numFmtId="166" fontId="59" fillId="0" borderId="0" xfId="628" applyNumberFormat="1" applyFont="1" applyAlignment="1" applyProtection="1">
      <alignment horizontal="right"/>
    </xf>
    <xf numFmtId="2" fontId="59" fillId="0" borderId="0" xfId="628" applyNumberFormat="1" applyFont="1" applyAlignment="1" applyProtection="1">
      <alignment horizontal="right"/>
    </xf>
    <xf numFmtId="164" fontId="59" fillId="0" borderId="0" xfId="628" applyNumberFormat="1" applyFont="1" applyAlignment="1" applyProtection="1">
      <alignment horizontal="left"/>
    </xf>
    <xf numFmtId="165" fontId="59" fillId="0" borderId="18" xfId="628" applyNumberFormat="1" applyFont="1" applyBorder="1" applyAlignment="1" applyProtection="1">
      <alignment horizontal="center"/>
    </xf>
    <xf numFmtId="0" fontId="77" fillId="0" borderId="0" xfId="0" applyFont="1"/>
    <xf numFmtId="0" fontId="77" fillId="0" borderId="0" xfId="0" applyFont="1" applyAlignment="1">
      <alignment horizontal="left"/>
    </xf>
    <xf numFmtId="0" fontId="0" fillId="0" borderId="17" xfId="0" applyBorder="1"/>
    <xf numFmtId="0" fontId="14" fillId="0" borderId="0" xfId="629" applyFont="1" applyBorder="1"/>
    <xf numFmtId="0" fontId="22" fillId="0" borderId="0" xfId="629" applyFont="1" applyBorder="1"/>
    <xf numFmtId="0" fontId="14" fillId="0" borderId="11" xfId="629" applyBorder="1" applyAlignment="1">
      <alignment horizontal="left"/>
    </xf>
    <xf numFmtId="0" fontId="14" fillId="0" borderId="0" xfId="629" applyFont="1"/>
    <xf numFmtId="0" fontId="14" fillId="0" borderId="0" xfId="0" applyFont="1" applyBorder="1" applyAlignment="1" applyProtection="1">
      <alignment horizontal="left"/>
      <protection locked="0"/>
    </xf>
    <xf numFmtId="0" fontId="14" fillId="0" borderId="0" xfId="0" applyFont="1" applyAlignment="1" applyProtection="1">
      <alignment horizontal="left"/>
      <protection locked="0"/>
    </xf>
    <xf numFmtId="0" fontId="14" fillId="0" borderId="18" xfId="0" applyFont="1" applyBorder="1" applyAlignment="1" applyProtection="1">
      <alignment horizontal="left"/>
      <protection locked="0"/>
    </xf>
    <xf numFmtId="0" fontId="12" fillId="0" borderId="0" xfId="0" applyFont="1" applyAlignment="1" applyProtection="1">
      <alignment horizontal="right"/>
    </xf>
    <xf numFmtId="2" fontId="0" fillId="0" borderId="0" xfId="0" applyNumberFormat="1" applyFill="1" applyBorder="1" applyProtection="1"/>
    <xf numFmtId="0" fontId="15" fillId="0" borderId="0" xfId="0" applyFont="1" applyAlignment="1" applyProtection="1">
      <alignment horizontal="right"/>
      <protection locked="0"/>
    </xf>
    <xf numFmtId="0" fontId="9" fillId="0" borderId="0" xfId="0" applyFont="1" applyAlignment="1" applyProtection="1">
      <alignment horizontal="right"/>
      <protection locked="0"/>
    </xf>
    <xf numFmtId="0" fontId="34" fillId="0" borderId="0" xfId="0" applyFont="1" applyBorder="1" applyProtection="1">
      <protection locked="0"/>
    </xf>
    <xf numFmtId="2" fontId="0" fillId="0" borderId="0" xfId="0" applyNumberFormat="1" applyBorder="1" applyProtection="1">
      <protection locked="0"/>
    </xf>
    <xf numFmtId="0" fontId="11" fillId="0" borderId="0" xfId="0" applyFont="1" applyFill="1" applyBorder="1" applyProtection="1"/>
    <xf numFmtId="0" fontId="11" fillId="0" borderId="0" xfId="0" applyFont="1" applyFill="1" applyBorder="1" applyProtection="1">
      <protection locked="0"/>
    </xf>
    <xf numFmtId="0" fontId="0" fillId="0" borderId="0" xfId="0" applyFill="1" applyBorder="1" applyProtection="1">
      <protection locked="0"/>
    </xf>
    <xf numFmtId="0" fontId="15" fillId="0" borderId="0" xfId="0" applyFont="1" applyFill="1" applyBorder="1" applyProtection="1"/>
    <xf numFmtId="0" fontId="9" fillId="0" borderId="0" xfId="0" applyFont="1" applyFill="1" applyBorder="1" applyProtection="1">
      <protection locked="0"/>
    </xf>
    <xf numFmtId="0" fontId="0" fillId="0" borderId="0" xfId="0" applyFill="1" applyBorder="1" applyAlignment="1" applyProtection="1">
      <alignment horizontal="left"/>
    </xf>
    <xf numFmtId="0" fontId="10" fillId="0" borderId="0" xfId="0" applyFont="1" applyFill="1" applyBorder="1" applyProtection="1"/>
    <xf numFmtId="0" fontId="17" fillId="0" borderId="0" xfId="0" applyFont="1" applyFill="1" applyBorder="1" applyAlignment="1" applyProtection="1">
      <alignment horizontal="left"/>
    </xf>
    <xf numFmtId="0" fontId="12" fillId="0" borderId="0" xfId="0" applyFont="1" applyFill="1" applyBorder="1" applyProtection="1"/>
    <xf numFmtId="0" fontId="24" fillId="0" borderId="0" xfId="0" applyFont="1" applyFill="1" applyBorder="1" applyAlignment="1" applyProtection="1">
      <alignment horizontal="right"/>
      <protection locked="0"/>
    </xf>
    <xf numFmtId="0" fontId="12" fillId="0" borderId="0" xfId="0" applyFont="1" applyFill="1" applyBorder="1" applyAlignment="1" applyProtection="1">
      <alignment horizontal="right"/>
    </xf>
    <xf numFmtId="0" fontId="9" fillId="0" borderId="0" xfId="0" applyFont="1" applyFill="1" applyBorder="1" applyAlignment="1" applyProtection="1">
      <alignment horizontal="right"/>
    </xf>
    <xf numFmtId="0" fontId="14" fillId="0" borderId="0" xfId="0" applyFont="1" applyFill="1" applyBorder="1" applyProtection="1"/>
    <xf numFmtId="0" fontId="14" fillId="0" borderId="0" xfId="0" applyFont="1" applyFill="1" applyBorder="1" applyAlignment="1" applyProtection="1">
      <alignment horizontal="left"/>
    </xf>
    <xf numFmtId="0" fontId="26" fillId="0" borderId="0" xfId="0" applyFont="1" applyFill="1" applyBorder="1" applyProtection="1">
      <protection locked="0"/>
    </xf>
    <xf numFmtId="0" fontId="0" fillId="26" borderId="0" xfId="0" applyFill="1" applyBorder="1" applyProtection="1">
      <protection locked="0"/>
    </xf>
    <xf numFmtId="0" fontId="15" fillId="0" borderId="0" xfId="0" applyFont="1" applyFill="1" applyBorder="1" applyAlignment="1" applyProtection="1">
      <alignment horizontal="right"/>
    </xf>
    <xf numFmtId="1" fontId="0" fillId="0" borderId="0" xfId="0" applyNumberFormat="1" applyAlignment="1" applyProtection="1">
      <alignment horizontal="right"/>
    </xf>
    <xf numFmtId="0" fontId="80" fillId="0" borderId="0" xfId="628" applyFont="1" applyProtection="1">
      <protection locked="0"/>
    </xf>
    <xf numFmtId="0" fontId="9" fillId="0" borderId="0" xfId="0" applyFont="1" applyFill="1" applyBorder="1" applyProtection="1"/>
    <xf numFmtId="0" fontId="0" fillId="0" borderId="0" xfId="0" applyFill="1" applyBorder="1" applyAlignment="1" applyProtection="1">
      <alignment horizontal="right"/>
    </xf>
    <xf numFmtId="0" fontId="20" fillId="0" borderId="0" xfId="0" applyFont="1" applyAlignment="1" applyProtection="1">
      <alignment horizontal="right"/>
      <protection locked="0"/>
    </xf>
    <xf numFmtId="0" fontId="9" fillId="26" borderId="0" xfId="0" applyFont="1" applyFill="1" applyAlignment="1">
      <alignment horizontal="left"/>
    </xf>
    <xf numFmtId="0" fontId="0" fillId="26" borderId="0" xfId="0" applyFont="1" applyFill="1" applyAlignment="1">
      <alignment horizontal="left"/>
    </xf>
    <xf numFmtId="0" fontId="72" fillId="26" borderId="0" xfId="628" applyFont="1" applyFill="1" applyProtection="1"/>
    <xf numFmtId="2" fontId="59" fillId="26" borderId="0" xfId="628" applyNumberFormat="1" applyFont="1" applyFill="1" applyAlignment="1" applyProtection="1">
      <alignment horizontal="left"/>
    </xf>
    <xf numFmtId="1" fontId="73" fillId="26" borderId="0" xfId="628" applyNumberFormat="1" applyFont="1" applyFill="1" applyAlignment="1" applyProtection="1">
      <alignment horizontal="center"/>
      <protection locked="0"/>
    </xf>
    <xf numFmtId="1" fontId="73" fillId="26" borderId="18" xfId="628" applyNumberFormat="1" applyFont="1" applyFill="1" applyBorder="1" applyAlignment="1" applyProtection="1">
      <alignment horizontal="center"/>
      <protection locked="0"/>
    </xf>
    <xf numFmtId="0" fontId="80" fillId="26" borderId="0" xfId="628" applyFont="1" applyFill="1" applyProtection="1">
      <protection locked="0"/>
    </xf>
    <xf numFmtId="1" fontId="0" fillId="0" borderId="0" xfId="0" applyNumberFormat="1" applyProtection="1">
      <protection locked="0"/>
    </xf>
    <xf numFmtId="0" fontId="14" fillId="26" borderId="0" xfId="629" applyFill="1" applyBorder="1"/>
    <xf numFmtId="0" fontId="0" fillId="26" borderId="0" xfId="0" applyFill="1" applyProtection="1">
      <protection locked="0"/>
    </xf>
    <xf numFmtId="0" fontId="14" fillId="26" borderId="14" xfId="629" applyFill="1" applyBorder="1" applyAlignment="1">
      <alignment horizontal="left"/>
    </xf>
    <xf numFmtId="0" fontId="14" fillId="26" borderId="13" xfId="629" applyFill="1" applyBorder="1" applyAlignment="1">
      <alignment horizontal="left"/>
    </xf>
    <xf numFmtId="167" fontId="12" fillId="0" borderId="0" xfId="628" applyNumberFormat="1" applyAlignment="1" applyProtection="1">
      <alignment horizontal="left"/>
    </xf>
    <xf numFmtId="2" fontId="15" fillId="0" borderId="0" xfId="0" applyNumberFormat="1" applyFont="1" applyAlignment="1" applyProtection="1">
      <alignment horizontal="left"/>
      <protection locked="0"/>
    </xf>
    <xf numFmtId="0" fontId="12" fillId="0" borderId="0" xfId="628" applyBorder="1" applyAlignment="1">
      <alignment horizontal="right"/>
    </xf>
    <xf numFmtId="0" fontId="12" fillId="0" borderId="0" xfId="628" applyBorder="1"/>
    <xf numFmtId="0" fontId="10" fillId="0" borderId="0" xfId="628" applyFont="1" applyBorder="1"/>
    <xf numFmtId="2" fontId="12" fillId="0" borderId="0" xfId="628" applyNumberFormat="1" applyBorder="1" applyAlignment="1" applyProtection="1">
      <alignment horizontal="left"/>
      <protection locked="0"/>
    </xf>
    <xf numFmtId="0" fontId="12" fillId="0" borderId="0" xfId="628" applyBorder="1" applyProtection="1">
      <protection locked="0"/>
    </xf>
    <xf numFmtId="0" fontId="20" fillId="0" borderId="28" xfId="628" applyFont="1" applyBorder="1" applyAlignment="1" applyProtection="1">
      <alignment horizontal="left"/>
      <protection locked="0"/>
    </xf>
    <xf numFmtId="0" fontId="12" fillId="0" borderId="28" xfId="628" applyBorder="1"/>
    <xf numFmtId="0" fontId="14" fillId="0" borderId="28" xfId="628" applyFont="1" applyBorder="1" applyAlignment="1">
      <alignment horizontal="left"/>
    </xf>
    <xf numFmtId="0" fontId="9" fillId="0" borderId="28" xfId="628" applyFont="1" applyBorder="1" applyAlignment="1" applyProtection="1">
      <alignment horizontal="left"/>
      <protection locked="0"/>
    </xf>
    <xf numFmtId="0" fontId="12" fillId="0" borderId="28" xfId="628" applyBorder="1" applyProtection="1">
      <protection locked="0"/>
    </xf>
    <xf numFmtId="0" fontId="11" fillId="0" borderId="28" xfId="628" applyFont="1" applyBorder="1" applyProtection="1">
      <protection locked="0"/>
    </xf>
    <xf numFmtId="0" fontId="0" fillId="0" borderId="0" xfId="0" applyAlignment="1">
      <alignment horizontal="center"/>
    </xf>
    <xf numFmtId="0" fontId="14" fillId="0" borderId="0" xfId="629" applyFill="1" applyBorder="1"/>
    <xf numFmtId="0" fontId="0" fillId="0" borderId="10" xfId="0" applyBorder="1"/>
    <xf numFmtId="2" fontId="0" fillId="0" borderId="0" xfId="0" applyNumberFormat="1"/>
    <xf numFmtId="0" fontId="0" fillId="0" borderId="13" xfId="0" applyBorder="1"/>
    <xf numFmtId="164" fontId="14" fillId="0" borderId="0" xfId="629" applyNumberFormat="1" applyAlignment="1">
      <alignment horizontal="center"/>
    </xf>
    <xf numFmtId="0" fontId="14" fillId="0" borderId="0" xfId="629" applyAlignment="1">
      <alignment horizontal="center"/>
    </xf>
    <xf numFmtId="2" fontId="14" fillId="0" borderId="0" xfId="629" applyNumberFormat="1" applyAlignment="1">
      <alignment horizontal="center"/>
    </xf>
    <xf numFmtId="0" fontId="14" fillId="26" borderId="13" xfId="629" applyFill="1" applyBorder="1"/>
    <xf numFmtId="0" fontId="33" fillId="0" borderId="0" xfId="0" applyFont="1" applyBorder="1" applyAlignment="1">
      <alignment horizontal="center"/>
    </xf>
    <xf numFmtId="0" fontId="14" fillId="0" borderId="0" xfId="0" applyFont="1" applyBorder="1" applyAlignment="1">
      <alignment horizontal="center"/>
    </xf>
    <xf numFmtId="0" fontId="50" fillId="0" borderId="0" xfId="0" applyFont="1" applyAlignment="1">
      <alignment horizontal="center"/>
    </xf>
    <xf numFmtId="168" fontId="0" fillId="0" borderId="0" xfId="0" applyNumberFormat="1" applyAlignment="1">
      <alignment horizontal="center"/>
    </xf>
    <xf numFmtId="0" fontId="34" fillId="0" borderId="0" xfId="0" applyFont="1" applyAlignment="1">
      <alignment horizontal="center"/>
    </xf>
    <xf numFmtId="0" fontId="17" fillId="0" borderId="0" xfId="0" applyFont="1" applyBorder="1" applyAlignment="1">
      <alignment horizontal="center"/>
    </xf>
    <xf numFmtId="166" fontId="0" fillId="0" borderId="0" xfId="0" applyNumberFormat="1" applyAlignment="1">
      <alignment horizontal="center"/>
    </xf>
    <xf numFmtId="0" fontId="49" fillId="0" borderId="0" xfId="0" applyFont="1" applyAlignment="1">
      <alignment horizontal="center"/>
    </xf>
    <xf numFmtId="1" fontId="0" fillId="26" borderId="0" xfId="0" applyNumberFormat="1" applyFill="1" applyBorder="1" applyAlignment="1">
      <alignment horizontal="center"/>
    </xf>
    <xf numFmtId="2" fontId="12" fillId="0" borderId="0" xfId="0" applyNumberFormat="1" applyFont="1" applyFill="1" applyAlignment="1" applyProtection="1">
      <alignment horizontal="left"/>
    </xf>
    <xf numFmtId="2" fontId="12" fillId="0" borderId="18" xfId="0" applyNumberFormat="1" applyFont="1" applyFill="1" applyBorder="1" applyAlignment="1" applyProtection="1">
      <alignment horizontal="left"/>
    </xf>
    <xf numFmtId="0" fontId="0" fillId="26" borderId="0" xfId="0" quotePrefix="1" applyNumberFormat="1" applyFill="1" applyProtection="1">
      <protection locked="0"/>
    </xf>
    <xf numFmtId="2" fontId="0" fillId="0" borderId="0" xfId="0" quotePrefix="1" applyNumberFormat="1" applyProtection="1">
      <protection locked="0"/>
    </xf>
    <xf numFmtId="2" fontId="0" fillId="26" borderId="0" xfId="0" quotePrefix="1" applyNumberFormat="1" applyFill="1" applyProtection="1">
      <protection locked="0"/>
    </xf>
    <xf numFmtId="2" fontId="14" fillId="0" borderId="0" xfId="0" applyNumberFormat="1" applyFont="1" applyBorder="1" applyAlignment="1" applyProtection="1">
      <alignment horizontal="left"/>
      <protection locked="0"/>
    </xf>
    <xf numFmtId="0" fontId="0" fillId="0" borderId="0" xfId="0" quotePrefix="1" applyNumberFormat="1" applyFill="1" applyProtection="1">
      <protection locked="0"/>
    </xf>
    <xf numFmtId="2" fontId="0" fillId="0" borderId="0" xfId="0" quotePrefix="1" applyNumberFormat="1" applyFill="1" applyProtection="1">
      <protection locked="0"/>
    </xf>
    <xf numFmtId="2" fontId="0" fillId="0" borderId="0" xfId="0" applyNumberFormat="1" applyFill="1" applyProtection="1">
      <protection locked="0"/>
    </xf>
    <xf numFmtId="0" fontId="0" fillId="0" borderId="0" xfId="0" applyBorder="1" applyAlignment="1">
      <alignment horizontal="center"/>
    </xf>
    <xf numFmtId="0" fontId="15" fillId="0" borderId="0" xfId="0" applyFont="1" applyAlignment="1">
      <alignment horizontal="center"/>
    </xf>
    <xf numFmtId="0" fontId="17" fillId="0" borderId="0" xfId="0" applyFont="1" applyBorder="1" applyAlignment="1">
      <alignment horizontal="right"/>
    </xf>
    <xf numFmtId="0" fontId="17" fillId="0" borderId="0" xfId="0" applyFont="1" applyAlignment="1">
      <alignment horizontal="right"/>
    </xf>
    <xf numFmtId="0" fontId="14" fillId="0" borderId="0" xfId="0" applyFont="1" applyAlignment="1">
      <alignment horizontal="right"/>
    </xf>
    <xf numFmtId="0" fontId="14" fillId="0" borderId="0" xfId="0" applyFont="1" applyBorder="1" applyAlignment="1">
      <alignment horizontal="right"/>
    </xf>
    <xf numFmtId="164" fontId="0" fillId="0" borderId="0" xfId="0" applyNumberFormat="1" applyAlignment="1">
      <alignment horizontal="right"/>
    </xf>
    <xf numFmtId="164" fontId="14" fillId="0" borderId="0" xfId="0" applyNumberFormat="1" applyFont="1" applyAlignment="1">
      <alignment horizontal="right"/>
    </xf>
    <xf numFmtId="164" fontId="14" fillId="0" borderId="0" xfId="0" applyNumberFormat="1" applyFont="1" applyBorder="1" applyAlignment="1">
      <alignment horizontal="right"/>
    </xf>
    <xf numFmtId="0" fontId="12" fillId="26" borderId="0" xfId="0" applyFont="1" applyFill="1"/>
    <xf numFmtId="0" fontId="0" fillId="26" borderId="0" xfId="0" applyFill="1"/>
    <xf numFmtId="0" fontId="9" fillId="26" borderId="0" xfId="0" applyFont="1" applyFill="1" applyBorder="1"/>
    <xf numFmtId="0" fontId="0" fillId="0" borderId="28" xfId="0" applyBorder="1"/>
    <xf numFmtId="0" fontId="9" fillId="0" borderId="28" xfId="0" applyFont="1" applyBorder="1" applyAlignment="1" applyProtection="1">
      <alignment horizontal="left"/>
      <protection locked="0"/>
    </xf>
    <xf numFmtId="0" fontId="0" fillId="0" borderId="28" xfId="0" applyBorder="1" applyProtection="1">
      <protection locked="0"/>
    </xf>
    <xf numFmtId="0" fontId="0" fillId="27" borderId="0" xfId="0" applyFill="1" applyAlignment="1" applyProtection="1">
      <alignment horizontal="left"/>
    </xf>
    <xf numFmtId="0" fontId="0" fillId="28" borderId="0" xfId="0" applyFill="1" applyAlignment="1" applyProtection="1">
      <alignment horizontal="left"/>
    </xf>
    <xf numFmtId="0" fontId="0" fillId="28" borderId="0" xfId="0" applyFill="1" applyAlignment="1" applyProtection="1">
      <alignment horizontal="center"/>
    </xf>
    <xf numFmtId="0" fontId="0" fillId="29" borderId="0" xfId="0" applyFill="1" applyAlignment="1" applyProtection="1">
      <alignment horizontal="left"/>
    </xf>
    <xf numFmtId="0" fontId="0" fillId="29" borderId="0" xfId="0" applyFill="1" applyAlignment="1" applyProtection="1">
      <alignment horizontal="center"/>
    </xf>
    <xf numFmtId="0" fontId="0" fillId="27" borderId="0" xfId="0" applyFill="1" applyAlignment="1" applyProtection="1">
      <alignment horizontal="center"/>
    </xf>
    <xf numFmtId="0" fontId="17" fillId="0" borderId="18" xfId="0" applyFont="1" applyBorder="1" applyAlignment="1" applyProtection="1">
      <alignment horizontal="right"/>
    </xf>
    <xf numFmtId="0" fontId="0" fillId="0" borderId="0" xfId="0" applyBorder="1" applyAlignment="1" applyProtection="1">
      <alignment horizontal="right"/>
    </xf>
    <xf numFmtId="0" fontId="12" fillId="0" borderId="0" xfId="0" applyFont="1" applyBorder="1" applyAlignment="1" applyProtection="1">
      <alignment horizontal="right"/>
    </xf>
    <xf numFmtId="0" fontId="0" fillId="0" borderId="29" xfId="0" applyBorder="1" applyAlignment="1">
      <alignment horizontal="left"/>
    </xf>
    <xf numFmtId="0" fontId="19" fillId="26" borderId="0" xfId="0" applyFont="1" applyFill="1" applyAlignment="1">
      <alignment horizontal="left"/>
    </xf>
    <xf numFmtId="0" fontId="9" fillId="26" borderId="0" xfId="0" applyFont="1" applyFill="1"/>
    <xf numFmtId="0" fontId="0" fillId="26" borderId="0" xfId="0" applyFill="1" applyAlignment="1">
      <alignment horizontal="left"/>
    </xf>
    <xf numFmtId="0" fontId="14" fillId="0" borderId="13" xfId="0" applyFont="1" applyBorder="1"/>
    <xf numFmtId="0" fontId="38" fillId="0" borderId="0" xfId="0" applyFont="1" applyBorder="1"/>
    <xf numFmtId="0" fontId="17" fillId="0" borderId="13" xfId="0" applyFont="1" applyBorder="1" applyAlignment="1">
      <alignment horizontal="left"/>
    </xf>
    <xf numFmtId="0" fontId="0" fillId="0" borderId="16" xfId="0" applyBorder="1" applyAlignment="1">
      <alignment horizontal="left"/>
    </xf>
    <xf numFmtId="0" fontId="15" fillId="0" borderId="16" xfId="0" applyFont="1" applyBorder="1" applyAlignment="1">
      <alignment horizontal="left"/>
    </xf>
    <xf numFmtId="0" fontId="0" fillId="0" borderId="17" xfId="0" applyBorder="1" applyAlignment="1">
      <alignment horizontal="left"/>
    </xf>
    <xf numFmtId="0" fontId="0" fillId="28" borderId="0" xfId="0" applyFill="1" applyBorder="1" applyProtection="1">
      <protection locked="0"/>
    </xf>
    <xf numFmtId="0" fontId="0" fillId="28" borderId="14" xfId="0" applyFill="1" applyBorder="1" applyProtection="1">
      <protection locked="0"/>
    </xf>
    <xf numFmtId="0" fontId="0" fillId="28" borderId="16" xfId="0" applyFill="1" applyBorder="1" applyProtection="1">
      <protection locked="0"/>
    </xf>
    <xf numFmtId="164" fontId="0" fillId="0" borderId="0" xfId="0" applyNumberFormat="1" applyFill="1" applyBorder="1" applyAlignment="1">
      <alignment horizontal="right"/>
    </xf>
    <xf numFmtId="0" fontId="26" fillId="0" borderId="0" xfId="0" applyFont="1" applyBorder="1" applyProtection="1">
      <protection locked="0"/>
    </xf>
    <xf numFmtId="2" fontId="12" fillId="0" borderId="0" xfId="0" applyNumberFormat="1" applyFont="1" applyBorder="1" applyAlignment="1" applyProtection="1">
      <alignment horizontal="center"/>
    </xf>
    <xf numFmtId="2" fontId="0" fillId="0" borderId="0" xfId="0" applyNumberFormat="1" applyBorder="1" applyAlignment="1" applyProtection="1">
      <alignment horizontal="center"/>
    </xf>
    <xf numFmtId="0" fontId="9" fillId="0" borderId="18" xfId="0" quotePrefix="1" applyNumberFormat="1" applyFont="1" applyBorder="1" applyAlignment="1" applyProtection="1">
      <alignment horizontal="center" wrapText="1"/>
      <protection locked="0"/>
    </xf>
    <xf numFmtId="0" fontId="0" fillId="0" borderId="18" xfId="0" applyBorder="1" applyAlignment="1" applyProtection="1">
      <alignment horizontal="center" wrapText="1"/>
      <protection locked="0"/>
    </xf>
    <xf numFmtId="0" fontId="0" fillId="26" borderId="0" xfId="0" applyNumberFormat="1" applyFill="1" applyAlignment="1" applyProtection="1">
      <alignment horizontal="center"/>
      <protection locked="0"/>
    </xf>
    <xf numFmtId="0" fontId="0" fillId="26" borderId="0" xfId="0" applyFill="1" applyAlignment="1" applyProtection="1">
      <alignment horizontal="center"/>
      <protection locked="0"/>
    </xf>
    <xf numFmtId="1" fontId="14" fillId="0" borderId="0" xfId="629" applyNumberFormat="1" applyFill="1" applyBorder="1" applyAlignment="1">
      <alignment horizontal="center"/>
    </xf>
    <xf numFmtId="1" fontId="0" fillId="0" borderId="0" xfId="0" applyNumberFormat="1" applyFill="1" applyBorder="1" applyAlignment="1">
      <alignment horizontal="center"/>
    </xf>
    <xf numFmtId="0" fontId="100" fillId="0" borderId="0" xfId="0" applyFont="1" applyAlignment="1">
      <alignment horizontal="center"/>
    </xf>
    <xf numFmtId="0" fontId="100" fillId="0" borderId="0" xfId="0" applyFont="1"/>
    <xf numFmtId="0" fontId="101" fillId="0" borderId="0" xfId="0" applyFont="1"/>
    <xf numFmtId="0" fontId="101" fillId="0" borderId="0" xfId="0" applyFont="1" applyAlignment="1">
      <alignment horizontal="center"/>
    </xf>
    <xf numFmtId="169" fontId="101" fillId="0" borderId="0" xfId="0" applyNumberFormat="1" applyFont="1" applyAlignment="1">
      <alignment horizontal="center"/>
    </xf>
    <xf numFmtId="0" fontId="0" fillId="0" borderId="0" xfId="0" applyNumberFormat="1" applyFill="1" applyAlignment="1" applyProtection="1">
      <alignment horizontal="center"/>
      <protection locked="0"/>
    </xf>
    <xf numFmtId="0" fontId="0" fillId="0" borderId="0" xfId="0" applyFill="1" applyAlignment="1" applyProtection="1">
      <alignment horizontal="center"/>
      <protection locked="0"/>
    </xf>
    <xf numFmtId="0" fontId="0" fillId="30" borderId="0" xfId="0" quotePrefix="1" applyNumberFormat="1" applyFill="1" applyProtection="1">
      <protection locked="0"/>
    </xf>
    <xf numFmtId="0" fontId="0" fillId="30" borderId="0" xfId="0" applyFill="1" applyProtection="1">
      <protection locked="0"/>
    </xf>
    <xf numFmtId="0" fontId="0" fillId="30" borderId="0" xfId="0" applyNumberFormat="1" applyFill="1" applyAlignment="1" applyProtection="1">
      <alignment horizontal="center"/>
      <protection locked="0"/>
    </xf>
    <xf numFmtId="0" fontId="0" fillId="30" borderId="0" xfId="0" applyFill="1" applyAlignment="1" applyProtection="1">
      <alignment horizontal="center"/>
      <protection locked="0"/>
    </xf>
    <xf numFmtId="0" fontId="14" fillId="0" borderId="12" xfId="629" applyBorder="1" applyProtection="1">
      <protection locked="0"/>
    </xf>
    <xf numFmtId="0" fontId="14" fillId="0" borderId="14" xfId="629" applyBorder="1" applyProtection="1">
      <protection locked="0"/>
    </xf>
    <xf numFmtId="0" fontId="14" fillId="0" borderId="17" xfId="629" applyBorder="1" applyProtection="1">
      <protection locked="0"/>
    </xf>
    <xf numFmtId="0" fontId="0" fillId="0" borderId="0" xfId="0" quotePrefix="1" applyNumberFormat="1" applyFill="1" applyAlignment="1" applyProtection="1">
      <alignment horizontal="center"/>
      <protection locked="0"/>
    </xf>
    <xf numFmtId="0" fontId="0" fillId="26" borderId="0" xfId="0" quotePrefix="1" applyNumberFormat="1" applyFill="1" applyAlignment="1" applyProtection="1">
      <alignment horizontal="center"/>
      <protection locked="0"/>
    </xf>
    <xf numFmtId="2" fontId="0" fillId="0" borderId="0" xfId="0" quotePrefix="1" applyNumberFormat="1" applyBorder="1" applyAlignment="1">
      <alignment horizontal="left"/>
    </xf>
    <xf numFmtId="2" fontId="0" fillId="0" borderId="0" xfId="0" quotePrefix="1" applyNumberFormat="1" applyBorder="1" applyAlignment="1" applyProtection="1">
      <alignment horizontal="left"/>
      <protection locked="0"/>
    </xf>
    <xf numFmtId="0" fontId="0" fillId="0" borderId="18" xfId="0" quotePrefix="1" applyNumberFormat="1" applyBorder="1" applyAlignment="1" applyProtection="1">
      <alignment horizontal="right" wrapText="1"/>
      <protection locked="0"/>
    </xf>
    <xf numFmtId="0" fontId="33" fillId="0" borderId="0" xfId="0" applyFont="1" applyBorder="1" applyAlignment="1" applyProtection="1">
      <alignment horizontal="left"/>
    </xf>
    <xf numFmtId="0" fontId="14" fillId="0" borderId="13" xfId="629" applyFill="1" applyBorder="1" applyAlignment="1">
      <alignment horizontal="left"/>
    </xf>
    <xf numFmtId="0" fontId="14" fillId="0" borderId="14" xfId="629" applyFill="1" applyBorder="1" applyAlignment="1">
      <alignment horizontal="left"/>
    </xf>
    <xf numFmtId="0" fontId="0" fillId="0" borderId="0" xfId="0" applyFill="1" applyBorder="1" applyAlignment="1">
      <alignment horizontal="left"/>
    </xf>
    <xf numFmtId="0" fontId="14" fillId="0" borderId="0" xfId="0" applyFont="1" applyFill="1" applyBorder="1" applyAlignment="1">
      <alignment horizontal="right"/>
    </xf>
    <xf numFmtId="0" fontId="14" fillId="0" borderId="0" xfId="629" applyFill="1"/>
    <xf numFmtId="0" fontId="14" fillId="0" borderId="13" xfId="0" applyFont="1" applyFill="1" applyBorder="1"/>
    <xf numFmtId="0" fontId="14" fillId="0" borderId="14" xfId="0" applyFont="1" applyFill="1" applyBorder="1" applyAlignment="1">
      <alignment horizontal="left"/>
    </xf>
    <xf numFmtId="0" fontId="0" fillId="0" borderId="13" xfId="0" applyFill="1" applyBorder="1" applyAlignment="1">
      <alignment horizontal="left"/>
    </xf>
    <xf numFmtId="0" fontId="17" fillId="26" borderId="0" xfId="629" applyFont="1" applyFill="1" applyBorder="1"/>
    <xf numFmtId="0" fontId="14" fillId="26" borderId="0" xfId="629" applyFill="1" applyAlignment="1">
      <alignment horizontal="center"/>
    </xf>
    <xf numFmtId="0" fontId="102" fillId="26" borderId="13" xfId="0" applyFont="1" applyFill="1" applyBorder="1"/>
    <xf numFmtId="0" fontId="0" fillId="26" borderId="14" xfId="0" applyFill="1" applyBorder="1" applyAlignment="1">
      <alignment horizontal="left"/>
    </xf>
    <xf numFmtId="0" fontId="14" fillId="26" borderId="13" xfId="0" applyFont="1" applyFill="1" applyBorder="1"/>
    <xf numFmtId="0" fontId="14" fillId="26" borderId="14" xfId="0" applyFont="1" applyFill="1" applyBorder="1" applyAlignment="1">
      <alignment horizontal="left"/>
    </xf>
    <xf numFmtId="0" fontId="103" fillId="0" borderId="0" xfId="0" applyFont="1" applyFill="1" applyBorder="1" applyAlignment="1">
      <alignment horizontal="left"/>
    </xf>
    <xf numFmtId="0" fontId="0" fillId="0" borderId="13" xfId="0" applyFill="1" applyBorder="1" applyProtection="1">
      <protection locked="0"/>
    </xf>
    <xf numFmtId="0" fontId="0" fillId="0" borderId="15" xfId="0" applyFill="1" applyBorder="1" applyProtection="1">
      <protection locked="0"/>
    </xf>
    <xf numFmtId="0" fontId="0" fillId="0" borderId="16" xfId="0" applyFill="1" applyBorder="1" applyProtection="1">
      <protection locked="0"/>
    </xf>
    <xf numFmtId="0" fontId="14" fillId="0" borderId="0" xfId="0" applyFont="1" applyFill="1" applyBorder="1" applyAlignment="1"/>
    <xf numFmtId="0" fontId="145" fillId="0" borderId="0" xfId="250" applyFill="1" applyProtection="1">
      <protection locked="0"/>
    </xf>
    <xf numFmtId="0" fontId="14" fillId="0" borderId="16" xfId="0" applyFont="1" applyFill="1" applyBorder="1" applyAlignment="1">
      <alignment horizontal="right"/>
    </xf>
    <xf numFmtId="0" fontId="106" fillId="0" borderId="0" xfId="0" applyFont="1" applyBorder="1" applyAlignment="1">
      <alignment horizontal="left"/>
    </xf>
    <xf numFmtId="0" fontId="0" fillId="0" borderId="11" xfId="0" quotePrefix="1" applyNumberFormat="1" applyBorder="1" applyAlignment="1" applyProtection="1">
      <alignment horizontal="right" wrapText="1"/>
      <protection locked="0"/>
    </xf>
    <xf numFmtId="0" fontId="17" fillId="0" borderId="0" xfId="0" applyFont="1" applyAlignment="1">
      <alignment horizontal="center"/>
    </xf>
    <xf numFmtId="0" fontId="53" fillId="0" borderId="0" xfId="0" applyFont="1" applyBorder="1" applyAlignment="1" applyProtection="1">
      <alignment horizontal="center"/>
      <protection locked="0"/>
    </xf>
    <xf numFmtId="0" fontId="53" fillId="0" borderId="0" xfId="0" applyFont="1" applyFill="1" applyBorder="1" applyAlignment="1" applyProtection="1">
      <alignment horizontal="center"/>
      <protection locked="0"/>
    </xf>
    <xf numFmtId="0" fontId="0" fillId="0" borderId="0" xfId="0" applyAlignment="1" applyProtection="1">
      <alignment horizontal="center"/>
      <protection locked="0"/>
    </xf>
    <xf numFmtId="2" fontId="12" fillId="26" borderId="0" xfId="0" applyNumberFormat="1" applyFont="1" applyFill="1" applyBorder="1" applyAlignment="1" applyProtection="1">
      <alignment horizontal="center"/>
      <protection locked="0"/>
    </xf>
    <xf numFmtId="0" fontId="9" fillId="0" borderId="10" xfId="0" applyFont="1" applyBorder="1" applyAlignment="1">
      <alignment horizontal="left"/>
    </xf>
    <xf numFmtId="0" fontId="0" fillId="0" borderId="11" xfId="0" applyBorder="1" applyAlignment="1">
      <alignment horizontal="left"/>
    </xf>
    <xf numFmtId="0" fontId="17" fillId="0" borderId="11" xfId="0" applyFont="1" applyBorder="1" applyAlignment="1">
      <alignment horizontal="left"/>
    </xf>
    <xf numFmtId="0" fontId="14" fillId="0" borderId="13" xfId="0" applyFont="1" applyFill="1" applyBorder="1" applyAlignment="1">
      <alignment horizontal="left"/>
    </xf>
    <xf numFmtId="0" fontId="14" fillId="0" borderId="14" xfId="0" applyFont="1" applyBorder="1" applyAlignment="1">
      <alignment horizontal="left"/>
    </xf>
    <xf numFmtId="0" fontId="9" fillId="0" borderId="13" xfId="0" applyFont="1" applyBorder="1" applyAlignment="1">
      <alignment horizontal="right"/>
    </xf>
    <xf numFmtId="0" fontId="0" fillId="0" borderId="14" xfId="0" applyBorder="1" applyAlignment="1">
      <alignment horizontal="right"/>
    </xf>
    <xf numFmtId="0" fontId="38" fillId="0" borderId="13" xfId="0" applyFont="1" applyBorder="1" applyAlignment="1">
      <alignment horizontal="left"/>
    </xf>
    <xf numFmtId="0" fontId="38" fillId="0" borderId="15" xfId="0" applyFont="1" applyBorder="1" applyAlignment="1">
      <alignment horizontal="left"/>
    </xf>
    <xf numFmtId="0" fontId="38" fillId="0" borderId="16" xfId="0" applyFont="1" applyBorder="1" applyAlignment="1">
      <alignment horizontal="left"/>
    </xf>
    <xf numFmtId="0" fontId="38" fillId="0" borderId="17" xfId="0" applyFont="1" applyBorder="1" applyAlignment="1">
      <alignment horizontal="left"/>
    </xf>
    <xf numFmtId="0" fontId="0" fillId="0" borderId="23" xfId="0" applyBorder="1"/>
    <xf numFmtId="2" fontId="12" fillId="26" borderId="0" xfId="0" applyNumberFormat="1" applyFont="1" applyFill="1" applyBorder="1" applyAlignment="1" applyProtection="1">
      <alignment horizontal="right"/>
      <protection locked="0"/>
    </xf>
    <xf numFmtId="2" fontId="0" fillId="26" borderId="0" xfId="0" applyNumberFormat="1" applyFill="1" applyProtection="1">
      <protection locked="0"/>
    </xf>
    <xf numFmtId="1" fontId="14" fillId="26" borderId="0" xfId="629" applyNumberFormat="1" applyFill="1" applyBorder="1" applyAlignment="1">
      <alignment horizontal="center" vertical="center"/>
    </xf>
    <xf numFmtId="164" fontId="9" fillId="26" borderId="0" xfId="0" applyNumberFormat="1" applyFont="1" applyFill="1" applyBorder="1" applyAlignment="1">
      <alignment horizontal="left"/>
    </xf>
    <xf numFmtId="0" fontId="0" fillId="0" borderId="0" xfId="628" applyFont="1" applyProtection="1">
      <protection locked="0"/>
    </xf>
    <xf numFmtId="0" fontId="0" fillId="31" borderId="0" xfId="0" quotePrefix="1" applyNumberFormat="1" applyFill="1" applyProtection="1">
      <protection locked="0"/>
    </xf>
    <xf numFmtId="0" fontId="0" fillId="31" borderId="0" xfId="0" applyFill="1" applyProtection="1">
      <protection locked="0"/>
    </xf>
    <xf numFmtId="2" fontId="0" fillId="31" borderId="0" xfId="0" quotePrefix="1" applyNumberFormat="1" applyFill="1" applyProtection="1">
      <protection locked="0"/>
    </xf>
    <xf numFmtId="0" fontId="0" fillId="31" borderId="0" xfId="0" applyNumberFormat="1" applyFill="1" applyAlignment="1" applyProtection="1">
      <alignment horizontal="center"/>
      <protection locked="0"/>
    </xf>
    <xf numFmtId="0" fontId="0" fillId="31" borderId="0" xfId="0" applyFill="1" applyAlignment="1" applyProtection="1">
      <alignment horizontal="center"/>
      <protection locked="0"/>
    </xf>
    <xf numFmtId="0" fontId="0" fillId="26" borderId="13" xfId="0" applyFill="1" applyBorder="1"/>
    <xf numFmtId="1" fontId="24" fillId="0" borderId="0" xfId="628" applyNumberFormat="1" applyFont="1" applyFill="1" applyAlignment="1" applyProtection="1">
      <alignment horizontal="center"/>
      <protection locked="0"/>
    </xf>
    <xf numFmtId="1" fontId="24" fillId="0" borderId="18" xfId="628" applyNumberFormat="1" applyFont="1" applyFill="1" applyBorder="1" applyAlignment="1" applyProtection="1">
      <alignment horizontal="center"/>
      <protection locked="0"/>
    </xf>
    <xf numFmtId="0" fontId="110" fillId="0" borderId="0" xfId="0" applyFont="1"/>
    <xf numFmtId="0" fontId="38" fillId="0" borderId="0" xfId="0" applyFont="1" applyFill="1" applyAlignment="1">
      <alignment horizontal="left"/>
    </xf>
    <xf numFmtId="0" fontId="14" fillId="0" borderId="0" xfId="0" applyFont="1" applyFill="1" applyAlignment="1">
      <alignment horizontal="left"/>
    </xf>
    <xf numFmtId="0" fontId="0" fillId="0" borderId="0" xfId="0" applyFill="1" applyBorder="1" applyAlignment="1">
      <alignment horizontal="center"/>
    </xf>
    <xf numFmtId="0" fontId="14" fillId="0" borderId="30" xfId="0" applyFont="1" applyFill="1" applyBorder="1" applyAlignment="1">
      <alignment horizontal="center"/>
    </xf>
    <xf numFmtId="164" fontId="12" fillId="0" borderId="31" xfId="0" applyNumberFormat="1" applyFont="1" applyFill="1" applyBorder="1" applyAlignment="1">
      <alignment horizontal="right"/>
    </xf>
    <xf numFmtId="0" fontId="38" fillId="0" borderId="30" xfId="0" applyFont="1" applyFill="1" applyBorder="1" applyAlignment="1">
      <alignment horizontal="center"/>
    </xf>
    <xf numFmtId="1" fontId="14" fillId="0" borderId="30" xfId="629" applyNumberFormat="1" applyFill="1" applyBorder="1" applyAlignment="1">
      <alignment horizontal="center"/>
    </xf>
    <xf numFmtId="164" fontId="0" fillId="0" borderId="31" xfId="0" applyNumberFormat="1" applyFill="1" applyBorder="1" applyAlignment="1">
      <alignment horizontal="right"/>
    </xf>
    <xf numFmtId="1" fontId="14" fillId="0" borderId="32" xfId="629" applyNumberFormat="1" applyFill="1" applyBorder="1" applyAlignment="1">
      <alignment horizontal="center"/>
    </xf>
    <xf numFmtId="1" fontId="0" fillId="0" borderId="33" xfId="0" applyNumberFormat="1" applyFill="1" applyBorder="1" applyAlignment="1">
      <alignment horizontal="center"/>
    </xf>
    <xf numFmtId="164" fontId="0" fillId="0" borderId="34" xfId="0" applyNumberFormat="1" applyFill="1" applyBorder="1" applyAlignment="1">
      <alignment horizontal="right"/>
    </xf>
    <xf numFmtId="0" fontId="0" fillId="0" borderId="35" xfId="0" applyFill="1" applyBorder="1" applyAlignment="1">
      <alignment horizontal="left"/>
    </xf>
    <xf numFmtId="0" fontId="14" fillId="0" borderId="35" xfId="629" applyFill="1" applyBorder="1"/>
    <xf numFmtId="0" fontId="14" fillId="0" borderId="36" xfId="629" applyFill="1" applyBorder="1"/>
    <xf numFmtId="0" fontId="14" fillId="0" borderId="0" xfId="0" applyFont="1" applyFill="1" applyBorder="1" applyAlignment="1">
      <alignment horizontal="left"/>
    </xf>
    <xf numFmtId="0" fontId="14" fillId="0" borderId="13" xfId="0" applyFont="1" applyFill="1" applyBorder="1" applyAlignment="1">
      <alignment horizontal="right"/>
    </xf>
    <xf numFmtId="0" fontId="14" fillId="0" borderId="15" xfId="0" applyFont="1" applyFill="1" applyBorder="1" applyAlignment="1">
      <alignment horizontal="right"/>
    </xf>
    <xf numFmtId="0" fontId="14" fillId="0" borderId="13" xfId="629" applyFont="1" applyFill="1" applyBorder="1" applyAlignment="1">
      <alignment horizontal="right"/>
    </xf>
    <xf numFmtId="164" fontId="14" fillId="0" borderId="0" xfId="0" applyNumberFormat="1" applyFont="1" applyFill="1" applyBorder="1" applyAlignment="1"/>
    <xf numFmtId="168" fontId="14" fillId="0" borderId="14" xfId="0" applyNumberFormat="1" applyFont="1" applyFill="1" applyBorder="1" applyAlignment="1"/>
    <xf numFmtId="0" fontId="14" fillId="0" borderId="14" xfId="0" applyFont="1" applyFill="1" applyBorder="1" applyAlignment="1"/>
    <xf numFmtId="164" fontId="14" fillId="0" borderId="0" xfId="0" applyNumberFormat="1" applyFont="1" applyFill="1" applyBorder="1" applyAlignment="1">
      <alignment horizontal="right"/>
    </xf>
    <xf numFmtId="164" fontId="14" fillId="0" borderId="16" xfId="0" applyNumberFormat="1" applyFont="1" applyFill="1" applyBorder="1" applyAlignment="1">
      <alignment horizontal="right"/>
    </xf>
    <xf numFmtId="0" fontId="14" fillId="0" borderId="17" xfId="0" applyFont="1" applyFill="1" applyBorder="1" applyAlignment="1"/>
    <xf numFmtId="0" fontId="0" fillId="0" borderId="0" xfId="0" quotePrefix="1" applyNumberFormat="1" applyFont="1" applyFill="1" applyProtection="1">
      <protection locked="0"/>
    </xf>
    <xf numFmtId="2" fontId="108" fillId="0" borderId="0" xfId="0" applyNumberFormat="1" applyFont="1" applyFill="1" applyBorder="1" applyAlignment="1" applyProtection="1">
      <alignment horizontal="center"/>
      <protection locked="0"/>
    </xf>
    <xf numFmtId="0" fontId="102" fillId="0" borderId="0" xfId="0" quotePrefix="1" applyNumberFormat="1" applyFont="1" applyFill="1" applyBorder="1" applyProtection="1">
      <protection locked="0"/>
    </xf>
    <xf numFmtId="0" fontId="0" fillId="0" borderId="0" xfId="0" applyFont="1" applyFill="1" applyBorder="1" applyProtection="1">
      <protection locked="0"/>
    </xf>
    <xf numFmtId="2" fontId="108" fillId="0" borderId="17" xfId="0" applyNumberFormat="1" applyFont="1" applyFill="1" applyBorder="1" applyAlignment="1" applyProtection="1">
      <alignment horizontal="center"/>
      <protection locked="0"/>
    </xf>
    <xf numFmtId="0" fontId="0" fillId="0" borderId="0" xfId="0" quotePrefix="1" applyNumberFormat="1" applyFont="1" applyFill="1" applyBorder="1" applyProtection="1">
      <protection locked="0"/>
    </xf>
    <xf numFmtId="0" fontId="108" fillId="0" borderId="13" xfId="0" applyFont="1" applyFill="1" applyBorder="1" applyAlignment="1">
      <alignment horizontal="left"/>
    </xf>
    <xf numFmtId="164" fontId="14" fillId="32" borderId="0" xfId="0" applyNumberFormat="1" applyFont="1" applyFill="1" applyBorder="1" applyAlignment="1"/>
    <xf numFmtId="164" fontId="12" fillId="32" borderId="37" xfId="0" applyNumberFormat="1" applyFont="1" applyFill="1" applyBorder="1" applyAlignment="1">
      <alignment horizontal="right"/>
    </xf>
    <xf numFmtId="0" fontId="108" fillId="32" borderId="13" xfId="629" applyFont="1" applyFill="1" applyBorder="1"/>
    <xf numFmtId="0" fontId="0" fillId="0" borderId="0" xfId="0" quotePrefix="1" applyNumberFormat="1" applyFont="1" applyFill="1" applyBorder="1" applyAlignment="1" applyProtection="1">
      <alignment horizontal="left"/>
      <protection locked="0"/>
    </xf>
    <xf numFmtId="0" fontId="14" fillId="32" borderId="30" xfId="0" applyFont="1" applyFill="1" applyBorder="1" applyAlignment="1">
      <alignment horizontal="center"/>
    </xf>
    <xf numFmtId="0" fontId="0" fillId="0" borderId="0" xfId="0" quotePrefix="1" applyNumberFormat="1" applyFill="1" applyBorder="1" applyProtection="1">
      <protection locked="0"/>
    </xf>
    <xf numFmtId="0" fontId="108" fillId="0" borderId="13" xfId="0" applyFont="1" applyFill="1" applyBorder="1"/>
    <xf numFmtId="2" fontId="108" fillId="0" borderId="0" xfId="0" applyNumberFormat="1" applyFont="1" applyFill="1" applyBorder="1" applyAlignment="1">
      <alignment horizontal="center"/>
    </xf>
    <xf numFmtId="168" fontId="14" fillId="32" borderId="12" xfId="0" applyNumberFormat="1" applyFont="1" applyFill="1" applyBorder="1" applyAlignment="1"/>
    <xf numFmtId="0" fontId="0" fillId="0" borderId="0" xfId="0" applyFill="1" applyAlignment="1" applyProtection="1">
      <alignment horizontal="center"/>
    </xf>
    <xf numFmtId="0" fontId="9" fillId="0" borderId="38" xfId="0" applyNumberFormat="1" applyFont="1" applyBorder="1" applyAlignment="1" applyProtection="1">
      <alignment horizontal="left"/>
      <protection locked="0"/>
    </xf>
    <xf numFmtId="0" fontId="0" fillId="32" borderId="0" xfId="0" applyFill="1" applyBorder="1" applyAlignment="1">
      <alignment horizontal="center"/>
    </xf>
    <xf numFmtId="1" fontId="14" fillId="32" borderId="0" xfId="629" applyNumberFormat="1" applyFill="1" applyBorder="1" applyAlignment="1">
      <alignment horizontal="center" vertical="center"/>
    </xf>
    <xf numFmtId="0" fontId="14" fillId="32" borderId="13" xfId="0" applyFont="1" applyFill="1" applyBorder="1" applyAlignment="1">
      <alignment horizontal="right"/>
    </xf>
    <xf numFmtId="0" fontId="26" fillId="0" borderId="0" xfId="0" applyFont="1" applyFill="1" applyBorder="1" applyAlignment="1" applyProtection="1">
      <alignment horizontal="right"/>
      <protection locked="0"/>
    </xf>
    <xf numFmtId="0" fontId="0" fillId="0" borderId="16" xfId="0" applyFill="1" applyBorder="1" applyAlignment="1" applyProtection="1">
      <alignment horizontal="left"/>
      <protection locked="0"/>
    </xf>
    <xf numFmtId="2" fontId="108" fillId="0" borderId="0" xfId="627" applyNumberFormat="1" applyFont="1" applyFill="1" applyBorder="1" applyAlignment="1" applyProtection="1">
      <alignment horizontal="center" wrapText="1"/>
      <protection locked="0"/>
    </xf>
    <xf numFmtId="0" fontId="9" fillId="0" borderId="39" xfId="0" quotePrefix="1" applyNumberFormat="1" applyFont="1" applyBorder="1" applyProtection="1">
      <protection locked="0"/>
    </xf>
    <xf numFmtId="2" fontId="108" fillId="0" borderId="0" xfId="0" quotePrefix="1" applyNumberFormat="1" applyFont="1" applyFill="1" applyBorder="1" applyAlignment="1">
      <alignment horizontal="center"/>
    </xf>
    <xf numFmtId="0" fontId="14" fillId="32" borderId="10" xfId="0" applyFont="1" applyFill="1" applyBorder="1" applyAlignment="1">
      <alignment horizontal="right"/>
    </xf>
    <xf numFmtId="0" fontId="0" fillId="32" borderId="40" xfId="0" applyFill="1" applyBorder="1" applyAlignment="1">
      <alignment horizontal="center"/>
    </xf>
    <xf numFmtId="0" fontId="108" fillId="0" borderId="13" xfId="629" applyFont="1" applyFill="1" applyBorder="1" applyAlignment="1">
      <alignment horizontal="left"/>
    </xf>
    <xf numFmtId="2" fontId="108" fillId="32" borderId="0" xfId="0" applyNumberFormat="1" applyFont="1" applyFill="1" applyBorder="1" applyAlignment="1">
      <alignment horizontal="center"/>
    </xf>
    <xf numFmtId="164" fontId="12" fillId="32" borderId="31" xfId="0" applyNumberFormat="1" applyFont="1" applyFill="1" applyBorder="1" applyAlignment="1">
      <alignment horizontal="right"/>
    </xf>
    <xf numFmtId="0" fontId="108" fillId="32" borderId="11" xfId="0" applyFont="1" applyFill="1" applyBorder="1" applyAlignment="1">
      <alignment horizontal="right"/>
    </xf>
    <xf numFmtId="2" fontId="108" fillId="0" borderId="0" xfId="0" quotePrefix="1" applyNumberFormat="1" applyFont="1" applyFill="1" applyBorder="1" applyAlignment="1" applyProtection="1">
      <alignment horizontal="center"/>
      <protection locked="0"/>
    </xf>
    <xf numFmtId="1" fontId="0" fillId="32" borderId="0" xfId="0" applyNumberFormat="1" applyFill="1" applyBorder="1" applyAlignment="1">
      <alignment horizontal="center"/>
    </xf>
    <xf numFmtId="0" fontId="108" fillId="0" borderId="13" xfId="629" applyFont="1" applyFill="1" applyBorder="1"/>
    <xf numFmtId="0" fontId="108" fillId="32" borderId="0" xfId="0" applyFont="1" applyFill="1" applyBorder="1"/>
    <xf numFmtId="0" fontId="0" fillId="32" borderId="41" xfId="0" applyFill="1" applyBorder="1" applyAlignment="1">
      <alignment horizontal="left"/>
    </xf>
    <xf numFmtId="2" fontId="0" fillId="0" borderId="14" xfId="0" quotePrefix="1" applyNumberFormat="1" applyFill="1" applyBorder="1" applyAlignment="1" applyProtection="1">
      <alignment horizontal="left"/>
      <protection locked="0"/>
    </xf>
    <xf numFmtId="2" fontId="108" fillId="0" borderId="16" xfId="0" quotePrefix="1" applyNumberFormat="1" applyFont="1" applyFill="1" applyBorder="1" applyAlignment="1">
      <alignment horizontal="center"/>
    </xf>
    <xf numFmtId="0" fontId="108" fillId="32" borderId="0" xfId="629" applyFont="1" applyFill="1" applyBorder="1" applyAlignment="1">
      <alignment horizontal="right"/>
    </xf>
    <xf numFmtId="0" fontId="9" fillId="0" borderId="39" xfId="0" applyNumberFormat="1" applyFont="1" applyBorder="1" applyAlignment="1" applyProtection="1">
      <alignment horizontal="left"/>
      <protection locked="0"/>
    </xf>
    <xf numFmtId="2" fontId="0" fillId="0" borderId="17" xfId="0" quotePrefix="1" applyNumberFormat="1" applyFill="1" applyBorder="1" applyAlignment="1" applyProtection="1">
      <alignment horizontal="left"/>
      <protection locked="0"/>
    </xf>
    <xf numFmtId="2" fontId="108" fillId="0" borderId="16" xfId="0" quotePrefix="1" applyNumberFormat="1" applyFont="1" applyFill="1" applyBorder="1" applyAlignment="1" applyProtection="1">
      <alignment horizontal="center"/>
      <protection locked="0"/>
    </xf>
    <xf numFmtId="0" fontId="108" fillId="0" borderId="16" xfId="0" applyFont="1" applyFill="1" applyBorder="1" applyAlignment="1">
      <alignment horizontal="right"/>
    </xf>
    <xf numFmtId="2" fontId="108" fillId="0" borderId="14" xfId="0" applyNumberFormat="1" applyFont="1" applyFill="1" applyBorder="1" applyAlignment="1" applyProtection="1">
      <alignment horizontal="center"/>
      <protection locked="0"/>
    </xf>
    <xf numFmtId="0" fontId="108" fillId="32" borderId="10" xfId="0" applyFont="1" applyFill="1" applyBorder="1" applyAlignment="1">
      <alignment horizontal="left"/>
    </xf>
    <xf numFmtId="0" fontId="14" fillId="32" borderId="35" xfId="629" applyFill="1" applyBorder="1"/>
    <xf numFmtId="0" fontId="108" fillId="0" borderId="15" xfId="0" applyFont="1" applyFill="1" applyBorder="1" applyAlignment="1">
      <alignment horizontal="left"/>
    </xf>
    <xf numFmtId="2" fontId="108" fillId="32" borderId="11" xfId="0" applyNumberFormat="1" applyFont="1" applyFill="1" applyBorder="1" applyAlignment="1">
      <alignment horizontal="center"/>
    </xf>
    <xf numFmtId="0" fontId="9" fillId="0" borderId="39" xfId="0" applyFont="1" applyBorder="1" applyProtection="1">
      <protection locked="0"/>
    </xf>
    <xf numFmtId="0" fontId="0" fillId="0" borderId="15" xfId="0" applyBorder="1" applyAlignment="1" applyProtection="1">
      <alignment horizontal="center"/>
      <protection locked="0"/>
    </xf>
    <xf numFmtId="164" fontId="14" fillId="32" borderId="31" xfId="629" applyNumberFormat="1" applyFill="1" applyBorder="1" applyAlignment="1">
      <alignment horizontal="right" vertical="center"/>
    </xf>
    <xf numFmtId="0" fontId="9" fillId="0" borderId="10" xfId="0" applyFont="1" applyBorder="1" applyProtection="1">
      <protection locked="0"/>
    </xf>
    <xf numFmtId="0" fontId="108" fillId="0" borderId="0" xfId="0" applyFont="1" applyFill="1" applyBorder="1" applyAlignment="1">
      <alignment horizontal="right"/>
    </xf>
    <xf numFmtId="2" fontId="108" fillId="0" borderId="0" xfId="627" applyNumberFormat="1" applyFont="1" applyFill="1" applyBorder="1" applyAlignment="1">
      <alignment horizontal="center" wrapText="1"/>
    </xf>
    <xf numFmtId="0" fontId="108" fillId="32" borderId="13" xfId="0" applyFont="1" applyFill="1" applyBorder="1"/>
    <xf numFmtId="0" fontId="108" fillId="32" borderId="13" xfId="629" applyFont="1" applyFill="1" applyBorder="1" applyAlignment="1">
      <alignment horizontal="left"/>
    </xf>
    <xf numFmtId="0" fontId="102" fillId="32" borderId="35" xfId="0" applyFont="1" applyFill="1" applyBorder="1"/>
    <xf numFmtId="2" fontId="108" fillId="32" borderId="14" xfId="0" applyNumberFormat="1" applyFont="1" applyFill="1" applyBorder="1" applyAlignment="1" applyProtection="1">
      <alignment horizontal="center" vertical="center"/>
      <protection locked="0"/>
    </xf>
    <xf numFmtId="2" fontId="108" fillId="32" borderId="0" xfId="0" applyNumberFormat="1" applyFont="1" applyFill="1" applyBorder="1" applyAlignment="1" applyProtection="1">
      <alignment horizontal="center"/>
      <protection locked="0"/>
    </xf>
    <xf numFmtId="1" fontId="14" fillId="32" borderId="30" xfId="629" applyNumberFormat="1" applyFill="1" applyBorder="1" applyAlignment="1">
      <alignment horizontal="center"/>
    </xf>
    <xf numFmtId="0" fontId="108" fillId="0" borderId="0" xfId="629" applyFont="1" applyFill="1" applyBorder="1" applyAlignment="1">
      <alignment horizontal="right"/>
    </xf>
    <xf numFmtId="0" fontId="108" fillId="32" borderId="0" xfId="0" applyFont="1" applyFill="1" applyBorder="1" applyAlignment="1">
      <alignment horizontal="right"/>
    </xf>
    <xf numFmtId="0" fontId="14" fillId="32" borderId="35" xfId="0" applyFont="1" applyFill="1" applyBorder="1"/>
    <xf numFmtId="0" fontId="14" fillId="32" borderId="35" xfId="629" applyFill="1" applyBorder="1" applyAlignment="1">
      <alignment horizontal="left" wrapText="1"/>
    </xf>
    <xf numFmtId="2" fontId="108" fillId="32" borderId="11" xfId="0" applyNumberFormat="1" applyFont="1" applyFill="1" applyBorder="1" applyAlignment="1" applyProtection="1">
      <alignment horizontal="center"/>
      <protection locked="0"/>
    </xf>
    <xf numFmtId="164" fontId="0" fillId="32" borderId="31" xfId="0" applyNumberFormat="1" applyFill="1" applyBorder="1" applyAlignment="1">
      <alignment horizontal="right"/>
    </xf>
    <xf numFmtId="2" fontId="15" fillId="0" borderId="0" xfId="0" applyNumberFormat="1" applyFont="1" applyFill="1" applyBorder="1" applyAlignment="1" applyProtection="1">
      <alignment horizontal="right"/>
      <protection locked="0"/>
    </xf>
    <xf numFmtId="0" fontId="0" fillId="0" borderId="0" xfId="0" quotePrefix="1" applyNumberFormat="1" applyFill="1" applyBorder="1" applyAlignment="1" applyProtection="1">
      <alignment horizontal="left"/>
      <protection locked="0"/>
    </xf>
    <xf numFmtId="2" fontId="108" fillId="32" borderId="0" xfId="627" applyNumberFormat="1" applyFont="1" applyFill="1" applyBorder="1" applyAlignment="1">
      <alignment horizontal="center" wrapText="1"/>
    </xf>
    <xf numFmtId="0" fontId="0" fillId="0" borderId="13" xfId="0" applyBorder="1" applyAlignment="1" applyProtection="1">
      <alignment horizontal="center"/>
      <protection locked="0"/>
    </xf>
    <xf numFmtId="0" fontId="0" fillId="32" borderId="35" xfId="0" applyFill="1" applyBorder="1" applyAlignment="1">
      <alignment horizontal="left"/>
    </xf>
    <xf numFmtId="1" fontId="14" fillId="32" borderId="30" xfId="629" applyNumberFormat="1" applyFill="1" applyBorder="1" applyAlignment="1">
      <alignment horizontal="center" vertical="center"/>
    </xf>
    <xf numFmtId="0" fontId="14" fillId="32" borderId="42" xfId="0" applyFont="1" applyFill="1" applyBorder="1" applyAlignment="1">
      <alignment horizontal="center"/>
    </xf>
    <xf numFmtId="2" fontId="108" fillId="32" borderId="14" xfId="0" applyNumberFormat="1" applyFont="1" applyFill="1" applyBorder="1" applyAlignment="1" applyProtection="1">
      <alignment horizontal="center"/>
      <protection locked="0"/>
    </xf>
    <xf numFmtId="0" fontId="14" fillId="32" borderId="13" xfId="0" applyFont="1" applyFill="1" applyBorder="1"/>
    <xf numFmtId="0" fontId="14" fillId="32" borderId="14" xfId="0" applyFont="1" applyFill="1" applyBorder="1" applyAlignment="1"/>
    <xf numFmtId="168" fontId="14" fillId="32" borderId="14" xfId="0" applyNumberFormat="1" applyFont="1" applyFill="1" applyBorder="1" applyAlignment="1"/>
    <xf numFmtId="0" fontId="14" fillId="32" borderId="0" xfId="0" applyFont="1" applyFill="1" applyBorder="1" applyAlignment="1"/>
    <xf numFmtId="0" fontId="14" fillId="32" borderId="13" xfId="629" applyFont="1" applyFill="1" applyBorder="1" applyAlignment="1">
      <alignment horizontal="right"/>
    </xf>
    <xf numFmtId="0" fontId="14" fillId="32" borderId="11" xfId="0" applyFont="1" applyFill="1" applyBorder="1" applyAlignment="1"/>
    <xf numFmtId="164" fontId="14" fillId="32" borderId="11" xfId="0" applyNumberFormat="1" applyFont="1" applyFill="1" applyBorder="1" applyAlignment="1"/>
    <xf numFmtId="0" fontId="14" fillId="32" borderId="13" xfId="629" applyFill="1" applyBorder="1" applyAlignment="1">
      <alignment horizontal="left"/>
    </xf>
    <xf numFmtId="0" fontId="108" fillId="0" borderId="0" xfId="0" applyFont="1"/>
    <xf numFmtId="0" fontId="108" fillId="0" borderId="0" xfId="0" applyFont="1" applyAlignment="1">
      <alignment horizontal="center"/>
    </xf>
    <xf numFmtId="0" fontId="108" fillId="0" borderId="0" xfId="0" quotePrefix="1" applyNumberFormat="1" applyFont="1" applyFill="1" applyBorder="1" applyProtection="1">
      <protection locked="0"/>
    </xf>
    <xf numFmtId="0" fontId="115" fillId="33" borderId="43" xfId="629" applyFont="1" applyFill="1" applyBorder="1"/>
    <xf numFmtId="0" fontId="115" fillId="33" borderId="44" xfId="629" applyFont="1" applyFill="1" applyBorder="1"/>
    <xf numFmtId="0" fontId="115" fillId="33" borderId="43" xfId="0" applyFont="1" applyFill="1" applyBorder="1"/>
    <xf numFmtId="0" fontId="115" fillId="33" borderId="44" xfId="0" applyFont="1" applyFill="1" applyBorder="1"/>
    <xf numFmtId="0" fontId="0" fillId="33" borderId="45" xfId="0" applyFill="1" applyBorder="1" applyAlignment="1">
      <alignment horizontal="left"/>
    </xf>
    <xf numFmtId="0" fontId="116" fillId="33" borderId="43" xfId="0" applyFont="1" applyFill="1" applyBorder="1"/>
    <xf numFmtId="0" fontId="116" fillId="33" borderId="44" xfId="0" applyFont="1" applyFill="1" applyBorder="1"/>
    <xf numFmtId="0" fontId="116" fillId="33" borderId="45" xfId="0" applyFont="1" applyFill="1" applyBorder="1"/>
    <xf numFmtId="0" fontId="0" fillId="33" borderId="29" xfId="0" applyFill="1" applyBorder="1"/>
    <xf numFmtId="0" fontId="108" fillId="0" borderId="16" xfId="0" applyFont="1" applyBorder="1"/>
    <xf numFmtId="0" fontId="108" fillId="0" borderId="16" xfId="0" quotePrefix="1" applyNumberFormat="1" applyFont="1" applyFill="1" applyBorder="1" applyProtection="1">
      <protection locked="0"/>
    </xf>
    <xf numFmtId="0" fontId="108" fillId="0" borderId="46" xfId="0" applyFont="1" applyBorder="1"/>
    <xf numFmtId="0" fontId="108" fillId="0" borderId="46" xfId="0" quotePrefix="1" applyNumberFormat="1" applyFont="1" applyFill="1" applyBorder="1" applyProtection="1">
      <protection locked="0"/>
    </xf>
    <xf numFmtId="0" fontId="108" fillId="29" borderId="0" xfId="0" applyFont="1" applyFill="1"/>
    <xf numFmtId="0" fontId="108" fillId="0" borderId="0" xfId="0" applyFont="1" applyFill="1"/>
    <xf numFmtId="0" fontId="112" fillId="0" borderId="44" xfId="0" applyFont="1" applyBorder="1" applyAlignment="1">
      <alignment horizontal="right"/>
    </xf>
    <xf numFmtId="0" fontId="108" fillId="0" borderId="0" xfId="0" quotePrefix="1" applyNumberFormat="1" applyFont="1" applyFill="1" applyBorder="1" applyAlignment="1" applyProtection="1">
      <alignment horizontal="center"/>
      <protection locked="0"/>
    </xf>
    <xf numFmtId="0" fontId="108" fillId="0" borderId="0" xfId="0" applyFont="1" applyFill="1" applyProtection="1">
      <protection locked="0"/>
    </xf>
    <xf numFmtId="0" fontId="108" fillId="0" borderId="0" xfId="0" applyFont="1" applyFill="1" applyBorder="1" applyProtection="1">
      <protection locked="0"/>
    </xf>
    <xf numFmtId="0" fontId="108" fillId="0" borderId="0" xfId="0" quotePrefix="1" applyNumberFormat="1" applyFont="1" applyFill="1" applyProtection="1">
      <protection locked="0"/>
    </xf>
    <xf numFmtId="0" fontId="108" fillId="0" borderId="0" xfId="0" applyFont="1" applyFill="1" applyBorder="1" applyAlignment="1" applyProtection="1">
      <alignment horizontal="center"/>
      <protection locked="0"/>
    </xf>
    <xf numFmtId="0" fontId="108" fillId="0" borderId="0" xfId="0" quotePrefix="1" applyNumberFormat="1" applyFont="1" applyProtection="1">
      <protection locked="0"/>
    </xf>
    <xf numFmtId="164" fontId="108" fillId="0" borderId="0" xfId="0" quotePrefix="1" applyNumberFormat="1" applyFont="1" applyFill="1" applyBorder="1" applyAlignment="1" applyProtection="1">
      <alignment horizontal="right"/>
      <protection locked="0"/>
    </xf>
    <xf numFmtId="0" fontId="108" fillId="0" borderId="0" xfId="0" quotePrefix="1" applyNumberFormat="1" applyFont="1" applyFill="1" applyBorder="1" applyAlignment="1" applyProtection="1">
      <alignment horizontal="right"/>
      <protection locked="0"/>
    </xf>
    <xf numFmtId="0" fontId="108" fillId="0" borderId="0" xfId="0" applyFont="1" applyFill="1" applyBorder="1" applyAlignment="1" applyProtection="1">
      <alignment horizontal="right"/>
      <protection locked="0"/>
    </xf>
    <xf numFmtId="166" fontId="108" fillId="29" borderId="0" xfId="0" applyNumberFormat="1" applyFont="1" applyFill="1" applyBorder="1" applyAlignment="1">
      <alignment horizontal="right"/>
    </xf>
    <xf numFmtId="0" fontId="108" fillId="0" borderId="0" xfId="0" applyFont="1" applyAlignment="1">
      <alignment horizontal="left"/>
    </xf>
    <xf numFmtId="0" fontId="14" fillId="0" borderId="0" xfId="0" applyFont="1" applyAlignment="1">
      <alignment horizontal="center"/>
    </xf>
    <xf numFmtId="0" fontId="38" fillId="0" borderId="0" xfId="0" applyFont="1" applyFill="1" applyAlignment="1">
      <alignment horizontal="center"/>
    </xf>
    <xf numFmtId="166" fontId="0" fillId="0" borderId="0" xfId="0" applyNumberFormat="1" applyFont="1" applyAlignment="1">
      <alignment horizontal="right"/>
    </xf>
    <xf numFmtId="0" fontId="9" fillId="28" borderId="0" xfId="0" applyFont="1" applyFill="1" applyAlignment="1">
      <alignment horizontal="left"/>
    </xf>
    <xf numFmtId="2" fontId="108" fillId="29" borderId="0" xfId="0" quotePrefix="1" applyNumberFormat="1" applyFont="1" applyFill="1" applyBorder="1" applyAlignment="1" applyProtection="1">
      <alignment horizontal="right"/>
      <protection locked="0"/>
    </xf>
    <xf numFmtId="0" fontId="112" fillId="29" borderId="44" xfId="0" applyFont="1" applyFill="1" applyBorder="1" applyAlignment="1">
      <alignment horizontal="right" wrapText="1"/>
    </xf>
    <xf numFmtId="0" fontId="112" fillId="29" borderId="44" xfId="0" applyFont="1" applyFill="1" applyBorder="1" applyAlignment="1">
      <alignment horizontal="right"/>
    </xf>
    <xf numFmtId="0" fontId="119" fillId="34" borderId="44" xfId="0" applyFont="1" applyFill="1" applyBorder="1" applyAlignment="1">
      <alignment horizontal="right"/>
    </xf>
    <xf numFmtId="0" fontId="119" fillId="34" borderId="44" xfId="0" applyFont="1" applyFill="1" applyBorder="1" applyAlignment="1">
      <alignment horizontal="center" wrapText="1"/>
    </xf>
    <xf numFmtId="0" fontId="112" fillId="29" borderId="45" xfId="0" applyFont="1" applyFill="1" applyBorder="1" applyAlignment="1">
      <alignment horizontal="right" vertical="center" wrapText="1"/>
    </xf>
    <xf numFmtId="0" fontId="108" fillId="0" borderId="13" xfId="0" applyFont="1" applyBorder="1" applyAlignment="1">
      <alignment horizontal="center"/>
    </xf>
    <xf numFmtId="164" fontId="108" fillId="29" borderId="14" xfId="0" applyNumberFormat="1" applyFont="1" applyFill="1" applyBorder="1" applyAlignment="1">
      <alignment horizontal="right"/>
    </xf>
    <xf numFmtId="0" fontId="108" fillId="27" borderId="0" xfId="0" quotePrefix="1" applyNumberFormat="1" applyFont="1" applyFill="1" applyBorder="1" applyAlignment="1" applyProtection="1">
      <alignment horizontal="center"/>
      <protection locked="0"/>
    </xf>
    <xf numFmtId="0" fontId="108" fillId="27" borderId="0" xfId="0" applyFont="1" applyFill="1" applyBorder="1" applyAlignment="1" applyProtection="1">
      <alignment horizontal="center"/>
      <protection locked="0"/>
    </xf>
    <xf numFmtId="0" fontId="108" fillId="27" borderId="0" xfId="0" applyFont="1" applyFill="1" applyBorder="1" applyAlignment="1" applyProtection="1">
      <alignment horizontal="left"/>
      <protection locked="0"/>
    </xf>
    <xf numFmtId="0" fontId="108" fillId="32" borderId="15" xfId="0" applyFont="1" applyFill="1" applyBorder="1" applyAlignment="1">
      <alignment horizontal="center"/>
    </xf>
    <xf numFmtId="0" fontId="108" fillId="32" borderId="16" xfId="0" applyFont="1" applyFill="1" applyBorder="1" applyAlignment="1">
      <alignment horizontal="center"/>
    </xf>
    <xf numFmtId="0" fontId="108" fillId="31" borderId="16" xfId="0" applyFont="1" applyFill="1" applyBorder="1" applyAlignment="1">
      <alignment horizontal="center"/>
    </xf>
    <xf numFmtId="0" fontId="108" fillId="31" borderId="17" xfId="0" applyFont="1" applyFill="1" applyBorder="1" applyAlignment="1">
      <alignment horizontal="center"/>
    </xf>
    <xf numFmtId="0" fontId="108" fillId="27" borderId="10" xfId="0" quotePrefix="1" applyNumberFormat="1" applyFont="1" applyFill="1" applyBorder="1" applyAlignment="1" applyProtection="1">
      <alignment horizontal="center"/>
      <protection locked="0"/>
    </xf>
    <xf numFmtId="0" fontId="108" fillId="27" borderId="11" xfId="0" quotePrefix="1" applyNumberFormat="1" applyFont="1" applyFill="1" applyBorder="1" applyAlignment="1" applyProtection="1">
      <alignment horizontal="center"/>
      <protection locked="0"/>
    </xf>
    <xf numFmtId="0" fontId="108" fillId="35" borderId="11" xfId="0" applyFont="1" applyFill="1" applyBorder="1" applyAlignment="1" applyProtection="1">
      <alignment horizontal="center"/>
      <protection locked="0"/>
    </xf>
    <xf numFmtId="0" fontId="108" fillId="35" borderId="12" xfId="0" applyFont="1" applyFill="1" applyBorder="1" applyAlignment="1" applyProtection="1">
      <alignment horizontal="center"/>
      <protection locked="0"/>
    </xf>
    <xf numFmtId="0" fontId="108" fillId="27" borderId="13" xfId="0" quotePrefix="1" applyNumberFormat="1" applyFont="1" applyFill="1" applyBorder="1" applyAlignment="1" applyProtection="1">
      <alignment horizontal="center"/>
      <protection locked="0"/>
    </xf>
    <xf numFmtId="0" fontId="108" fillId="35" borderId="0" xfId="0" applyFont="1" applyFill="1" applyBorder="1" applyAlignment="1">
      <alignment horizontal="center"/>
    </xf>
    <xf numFmtId="0" fontId="108" fillId="35" borderId="14" xfId="0" applyFont="1" applyFill="1" applyBorder="1" applyAlignment="1" applyProtection="1">
      <alignment horizontal="center"/>
      <protection locked="0"/>
    </xf>
    <xf numFmtId="0" fontId="0" fillId="35" borderId="0" xfId="0" applyFill="1" applyBorder="1" applyProtection="1">
      <protection locked="0"/>
    </xf>
    <xf numFmtId="0" fontId="0" fillId="35" borderId="14" xfId="0" applyFill="1" applyBorder="1" applyProtection="1">
      <protection locked="0"/>
    </xf>
    <xf numFmtId="0" fontId="0" fillId="35" borderId="14" xfId="0" applyFill="1" applyBorder="1"/>
    <xf numFmtId="0" fontId="108" fillId="35" borderId="0" xfId="0" applyFont="1" applyFill="1" applyBorder="1" applyAlignment="1" applyProtection="1">
      <alignment horizontal="center"/>
      <protection locked="0"/>
    </xf>
    <xf numFmtId="0" fontId="108" fillId="27" borderId="13" xfId="0" applyFont="1" applyFill="1" applyBorder="1" applyProtection="1">
      <protection locked="0"/>
    </xf>
    <xf numFmtId="0" fontId="108" fillId="27" borderId="0" xfId="0" applyFont="1" applyFill="1" applyBorder="1" applyAlignment="1">
      <alignment horizontal="center"/>
    </xf>
    <xf numFmtId="0" fontId="108" fillId="27" borderId="13" xfId="0" applyFont="1" applyFill="1" applyBorder="1" applyAlignment="1" applyProtection="1">
      <alignment horizontal="center"/>
      <protection locked="0"/>
    </xf>
    <xf numFmtId="0" fontId="108" fillId="27" borderId="13" xfId="0" applyNumberFormat="1" applyFont="1" applyFill="1" applyBorder="1" applyAlignment="1" applyProtection="1">
      <alignment horizontal="center"/>
      <protection locked="0"/>
    </xf>
    <xf numFmtId="0" fontId="108" fillId="27" borderId="0" xfId="0" applyFont="1" applyFill="1" applyBorder="1"/>
    <xf numFmtId="0" fontId="108" fillId="27" borderId="0" xfId="0" applyFont="1" applyFill="1" applyBorder="1" applyProtection="1">
      <protection locked="0"/>
    </xf>
    <xf numFmtId="0" fontId="108" fillId="27" borderId="13" xfId="0" applyFont="1" applyFill="1" applyBorder="1" applyAlignment="1" applyProtection="1">
      <alignment horizontal="left"/>
      <protection locked="0"/>
    </xf>
    <xf numFmtId="0" fontId="108" fillId="28" borderId="15" xfId="0" applyFont="1" applyFill="1" applyBorder="1" applyAlignment="1">
      <alignment horizontal="center"/>
    </xf>
    <xf numFmtId="0" fontId="108" fillId="28" borderId="17" xfId="0" applyFont="1" applyFill="1" applyBorder="1" applyAlignment="1">
      <alignment horizontal="center"/>
    </xf>
    <xf numFmtId="0" fontId="108" fillId="36" borderId="10" xfId="0" quotePrefix="1" applyNumberFormat="1" applyFont="1" applyFill="1" applyBorder="1" applyAlignment="1" applyProtection="1">
      <alignment horizontal="center"/>
      <protection locked="0"/>
    </xf>
    <xf numFmtId="0" fontId="108" fillId="36" borderId="12" xfId="0" quotePrefix="1" applyNumberFormat="1" applyFont="1" applyFill="1" applyBorder="1" applyAlignment="1" applyProtection="1">
      <alignment horizontal="center"/>
      <protection locked="0"/>
    </xf>
    <xf numFmtId="0" fontId="108" fillId="36" borderId="13" xfId="0" quotePrefix="1" applyNumberFormat="1" applyFont="1" applyFill="1" applyBorder="1" applyAlignment="1" applyProtection="1">
      <alignment horizontal="center"/>
      <protection locked="0"/>
    </xf>
    <xf numFmtId="0" fontId="108" fillId="36" borderId="14" xfId="0" quotePrefix="1" applyNumberFormat="1" applyFont="1" applyFill="1" applyBorder="1" applyAlignment="1" applyProtection="1">
      <alignment horizontal="center"/>
      <protection locked="0"/>
    </xf>
    <xf numFmtId="0" fontId="108" fillId="36" borderId="13" xfId="0" applyFont="1" applyFill="1" applyBorder="1" applyProtection="1">
      <protection locked="0"/>
    </xf>
    <xf numFmtId="0" fontId="108" fillId="36" borderId="14" xfId="0" applyFont="1" applyFill="1" applyBorder="1" applyProtection="1">
      <protection locked="0"/>
    </xf>
    <xf numFmtId="0" fontId="108" fillId="36" borderId="13" xfId="0" applyFont="1" applyFill="1" applyBorder="1" applyAlignment="1" applyProtection="1">
      <alignment horizontal="center"/>
      <protection locked="0"/>
    </xf>
    <xf numFmtId="0" fontId="108" fillId="36" borderId="14" xfId="0" applyFont="1" applyFill="1" applyBorder="1" applyAlignment="1" applyProtection="1">
      <alignment horizontal="center"/>
      <protection locked="0"/>
    </xf>
    <xf numFmtId="0" fontId="108" fillId="36" borderId="13" xfId="0" applyFont="1" applyFill="1" applyBorder="1"/>
    <xf numFmtId="0" fontId="108" fillId="36" borderId="14" xfId="0" applyFont="1" applyFill="1" applyBorder="1"/>
    <xf numFmtId="0" fontId="112" fillId="34" borderId="43" xfId="0" applyFont="1" applyFill="1" applyBorder="1" applyAlignment="1">
      <alignment horizontal="right"/>
    </xf>
    <xf numFmtId="164" fontId="108" fillId="0" borderId="13" xfId="0" quotePrefix="1" applyNumberFormat="1" applyFont="1" applyFill="1" applyBorder="1" applyAlignment="1" applyProtection="1">
      <alignment horizontal="right"/>
      <protection locked="0"/>
    </xf>
    <xf numFmtId="164" fontId="108" fillId="0" borderId="13" xfId="0" applyNumberFormat="1" applyFont="1" applyFill="1" applyBorder="1" applyAlignment="1" applyProtection="1">
      <alignment horizontal="right"/>
      <protection locked="0"/>
    </xf>
    <xf numFmtId="0" fontId="108" fillId="0" borderId="13" xfId="0" applyNumberFormat="1" applyFont="1" applyFill="1" applyBorder="1" applyAlignment="1" applyProtection="1">
      <alignment horizontal="right"/>
      <protection locked="0"/>
    </xf>
    <xf numFmtId="0" fontId="108" fillId="0" borderId="13" xfId="0" quotePrefix="1" applyNumberFormat="1" applyFont="1" applyFill="1" applyBorder="1" applyAlignment="1" applyProtection="1">
      <alignment horizontal="right"/>
      <protection locked="0"/>
    </xf>
    <xf numFmtId="2" fontId="108" fillId="0" borderId="13" xfId="0" quotePrefix="1" applyNumberFormat="1" applyFont="1" applyFill="1" applyBorder="1" applyAlignment="1" applyProtection="1">
      <alignment horizontal="right"/>
      <protection locked="0"/>
    </xf>
    <xf numFmtId="2" fontId="108" fillId="0" borderId="13" xfId="0" applyNumberFormat="1" applyFont="1" applyFill="1" applyBorder="1" applyAlignment="1" applyProtection="1">
      <alignment horizontal="right"/>
      <protection locked="0"/>
    </xf>
    <xf numFmtId="0" fontId="108" fillId="0" borderId="13" xfId="0" quotePrefix="1" applyNumberFormat="1" applyFont="1" applyFill="1" applyBorder="1" applyAlignment="1" applyProtection="1">
      <alignment horizontal="right" wrapText="1"/>
      <protection locked="0"/>
    </xf>
    <xf numFmtId="0" fontId="108" fillId="0" borderId="13" xfId="0" applyFont="1" applyBorder="1" applyAlignment="1">
      <alignment horizontal="right"/>
    </xf>
    <xf numFmtId="0" fontId="112" fillId="0" borderId="43" xfId="0" applyFont="1" applyBorder="1" applyAlignment="1">
      <alignment horizontal="right"/>
    </xf>
    <xf numFmtId="0" fontId="112" fillId="29" borderId="45" xfId="0" applyFont="1" applyFill="1" applyBorder="1" applyAlignment="1">
      <alignment horizontal="right"/>
    </xf>
    <xf numFmtId="166" fontId="108" fillId="29" borderId="14" xfId="0" quotePrefix="1" applyNumberFormat="1" applyFont="1" applyFill="1" applyBorder="1" applyAlignment="1" applyProtection="1">
      <alignment horizontal="right"/>
      <protection locked="0"/>
    </xf>
    <xf numFmtId="0" fontId="108" fillId="0" borderId="13" xfId="0" applyNumberFormat="1" applyFont="1" applyBorder="1" applyAlignment="1" applyProtection="1">
      <alignment horizontal="right"/>
      <protection locked="0"/>
    </xf>
    <xf numFmtId="2" fontId="108" fillId="0" borderId="13" xfId="0" quotePrefix="1" applyNumberFormat="1" applyFont="1" applyBorder="1" applyAlignment="1" applyProtection="1">
      <alignment horizontal="right"/>
      <protection locked="0"/>
    </xf>
    <xf numFmtId="0" fontId="108" fillId="0" borderId="13" xfId="0" applyFont="1" applyFill="1" applyBorder="1" applyAlignment="1" applyProtection="1">
      <alignment horizontal="right"/>
      <protection locked="0"/>
    </xf>
    <xf numFmtId="0" fontId="108" fillId="29" borderId="14" xfId="0" quotePrefix="1" applyNumberFormat="1" applyFont="1" applyFill="1" applyBorder="1" applyAlignment="1" applyProtection="1">
      <alignment horizontal="right"/>
      <protection locked="0"/>
    </xf>
    <xf numFmtId="0" fontId="108" fillId="0" borderId="43" xfId="0" applyFont="1" applyBorder="1" applyAlignment="1">
      <alignment horizontal="center"/>
    </xf>
    <xf numFmtId="164" fontId="108" fillId="0" borderId="0" xfId="0" quotePrefix="1" applyNumberFormat="1" applyFont="1" applyFill="1" applyBorder="1" applyAlignment="1" applyProtection="1">
      <alignment horizontal="center"/>
      <protection locked="0"/>
    </xf>
    <xf numFmtId="164" fontId="108" fillId="0" borderId="0" xfId="0" applyNumberFormat="1" applyFont="1" applyFill="1" applyBorder="1" applyAlignment="1" applyProtection="1">
      <alignment horizontal="center"/>
      <protection locked="0"/>
    </xf>
    <xf numFmtId="0" fontId="108" fillId="0" borderId="0" xfId="0" applyFont="1" applyBorder="1" applyAlignment="1">
      <alignment horizontal="center"/>
    </xf>
    <xf numFmtId="0" fontId="119" fillId="34" borderId="44" xfId="0" applyFont="1" applyFill="1" applyBorder="1" applyAlignment="1">
      <alignment horizontal="center"/>
    </xf>
    <xf numFmtId="2" fontId="108" fillId="0" borderId="0" xfId="0" quotePrefix="1" applyNumberFormat="1" applyFont="1" applyBorder="1" applyAlignment="1" applyProtection="1">
      <alignment horizontal="center"/>
      <protection locked="0"/>
    </xf>
    <xf numFmtId="0" fontId="108" fillId="26" borderId="0" xfId="0" quotePrefix="1" applyNumberFormat="1" applyFont="1" applyFill="1" applyProtection="1">
      <protection locked="0"/>
    </xf>
    <xf numFmtId="0" fontId="108" fillId="26" borderId="0" xfId="0" quotePrefix="1" applyNumberFormat="1" applyFont="1" applyFill="1" applyBorder="1" applyProtection="1">
      <protection locked="0"/>
    </xf>
    <xf numFmtId="0" fontId="108" fillId="0" borderId="0" xfId="0" applyFont="1" applyBorder="1"/>
    <xf numFmtId="0" fontId="117" fillId="0" borderId="0" xfId="250" applyFont="1" applyFill="1" applyProtection="1">
      <protection locked="0"/>
    </xf>
    <xf numFmtId="0" fontId="108" fillId="0" borderId="0" xfId="0" applyNumberFormat="1" applyFont="1" applyFill="1" applyBorder="1" applyProtection="1">
      <protection locked="0"/>
    </xf>
    <xf numFmtId="0" fontId="117" fillId="0" borderId="0" xfId="250" applyFont="1" applyFill="1" applyBorder="1" applyAlignment="1"/>
    <xf numFmtId="0" fontId="108" fillId="0" borderId="0" xfId="0" applyFont="1" applyBorder="1" applyAlignment="1">
      <alignment horizontal="right"/>
    </xf>
    <xf numFmtId="0" fontId="108" fillId="0" borderId="0" xfId="0" applyNumberFormat="1" applyFont="1" applyFill="1" applyBorder="1" applyAlignment="1" applyProtection="1">
      <alignment horizontal="right"/>
      <protection locked="0"/>
    </xf>
    <xf numFmtId="0" fontId="108" fillId="0" borderId="16" xfId="0" applyFont="1" applyBorder="1" applyAlignment="1">
      <alignment horizontal="center"/>
    </xf>
    <xf numFmtId="0" fontId="108" fillId="0" borderId="15" xfId="0" applyFont="1" applyBorder="1" applyAlignment="1">
      <alignment horizontal="center"/>
    </xf>
    <xf numFmtId="2" fontId="108" fillId="29" borderId="16" xfId="0" quotePrefix="1" applyNumberFormat="1" applyFont="1" applyFill="1" applyBorder="1" applyAlignment="1" applyProtection="1">
      <alignment horizontal="right"/>
      <protection locked="0"/>
    </xf>
    <xf numFmtId="166" fontId="108" fillId="29" borderId="16" xfId="0" applyNumberFormat="1" applyFont="1" applyFill="1" applyBorder="1" applyAlignment="1">
      <alignment horizontal="right"/>
    </xf>
    <xf numFmtId="164" fontId="108" fillId="29" borderId="17" xfId="0" applyNumberFormat="1" applyFont="1" applyFill="1" applyBorder="1" applyAlignment="1">
      <alignment horizontal="right"/>
    </xf>
    <xf numFmtId="0" fontId="108" fillId="35" borderId="0" xfId="0" applyFont="1" applyFill="1" applyBorder="1"/>
    <xf numFmtId="0" fontId="108" fillId="27" borderId="13" xfId="0" applyFont="1" applyFill="1" applyBorder="1" applyAlignment="1">
      <alignment horizontal="center"/>
    </xf>
    <xf numFmtId="0" fontId="108" fillId="35" borderId="14" xfId="0" applyFont="1" applyFill="1" applyBorder="1"/>
    <xf numFmtId="0" fontId="108" fillId="27" borderId="15" xfId="0" applyFont="1" applyFill="1" applyBorder="1"/>
    <xf numFmtId="0" fontId="108" fillId="27" borderId="16" xfId="0" applyFont="1" applyFill="1" applyBorder="1" applyAlignment="1">
      <alignment horizontal="center"/>
    </xf>
    <xf numFmtId="0" fontId="108" fillId="35" borderId="16" xfId="0" applyFont="1" applyFill="1" applyBorder="1" applyAlignment="1">
      <alignment horizontal="center"/>
    </xf>
    <xf numFmtId="0" fontId="108" fillId="35" borderId="17" xfId="0" applyFont="1" applyFill="1" applyBorder="1"/>
    <xf numFmtId="0" fontId="108" fillId="36" borderId="13" xfId="0" applyFont="1" applyFill="1" applyBorder="1" applyAlignment="1">
      <alignment horizontal="center"/>
    </xf>
    <xf numFmtId="0" fontId="108" fillId="36" borderId="14" xfId="0" applyFont="1" applyFill="1" applyBorder="1" applyAlignment="1">
      <alignment horizontal="center"/>
    </xf>
    <xf numFmtId="0" fontId="108" fillId="36" borderId="15" xfId="0" applyFont="1" applyFill="1" applyBorder="1" applyAlignment="1">
      <alignment horizontal="center"/>
    </xf>
    <xf numFmtId="0" fontId="108" fillId="36" borderId="17" xfId="0" applyFont="1" applyFill="1" applyBorder="1" applyAlignment="1">
      <alignment horizontal="center"/>
    </xf>
    <xf numFmtId="0" fontId="108" fillId="0" borderId="13" xfId="0" applyFont="1" applyBorder="1"/>
    <xf numFmtId="0" fontId="108" fillId="0" borderId="15" xfId="0" applyFont="1" applyBorder="1"/>
    <xf numFmtId="0" fontId="108" fillId="0" borderId="13" xfId="0" applyFont="1" applyFill="1" applyBorder="1" applyAlignment="1">
      <alignment horizontal="right"/>
    </xf>
    <xf numFmtId="0" fontId="108" fillId="29" borderId="17" xfId="0" quotePrefix="1" applyNumberFormat="1" applyFont="1" applyFill="1" applyBorder="1" applyAlignment="1" applyProtection="1">
      <alignment horizontal="right"/>
      <protection locked="0"/>
    </xf>
    <xf numFmtId="0" fontId="108" fillId="0" borderId="0" xfId="0" applyFont="1" applyFill="1" applyBorder="1" applyAlignment="1">
      <alignment horizontal="center"/>
    </xf>
    <xf numFmtId="164" fontId="108" fillId="0" borderId="13" xfId="0" applyNumberFormat="1" applyFont="1" applyBorder="1" applyAlignment="1">
      <alignment horizontal="right"/>
    </xf>
    <xf numFmtId="164" fontId="108" fillId="0" borderId="0" xfId="0" applyNumberFormat="1" applyFont="1" applyBorder="1" applyAlignment="1">
      <alignment horizontal="center"/>
    </xf>
    <xf numFmtId="0" fontId="145" fillId="0" borderId="0" xfId="250" applyFill="1" applyBorder="1" applyAlignment="1"/>
    <xf numFmtId="0" fontId="131" fillId="0" borderId="13" xfId="629" applyFont="1" applyFill="1" applyBorder="1"/>
    <xf numFmtId="0" fontId="131" fillId="0" borderId="0" xfId="629" applyFont="1" applyFill="1" applyBorder="1"/>
    <xf numFmtId="0" fontId="131" fillId="0" borderId="14" xfId="629" applyFont="1" applyFill="1" applyBorder="1"/>
    <xf numFmtId="0" fontId="131" fillId="0" borderId="15" xfId="629" applyFont="1" applyFill="1" applyBorder="1"/>
    <xf numFmtId="0" fontId="131" fillId="0" borderId="16" xfId="629" applyFont="1" applyFill="1" applyBorder="1"/>
    <xf numFmtId="0" fontId="131" fillId="0" borderId="17" xfId="629" applyFont="1" applyFill="1" applyBorder="1"/>
    <xf numFmtId="0" fontId="0" fillId="0" borderId="0" xfId="0" applyFill="1" applyAlignment="1">
      <alignment horizontal="center"/>
    </xf>
    <xf numFmtId="0" fontId="0" fillId="0" borderId="47" xfId="0" applyBorder="1"/>
    <xf numFmtId="0" fontId="0" fillId="0" borderId="48" xfId="0" applyBorder="1" applyAlignment="1">
      <alignment horizontal="center"/>
    </xf>
    <xf numFmtId="0" fontId="0" fillId="0" borderId="49" xfId="0" applyBorder="1"/>
    <xf numFmtId="0" fontId="131" fillId="0" borderId="49" xfId="629" applyFont="1" applyFill="1" applyBorder="1"/>
    <xf numFmtId="0" fontId="0" fillId="0" borderId="50" xfId="0" applyBorder="1" applyAlignment="1">
      <alignment horizontal="center"/>
    </xf>
    <xf numFmtId="0" fontId="14" fillId="0" borderId="50" xfId="629" applyBorder="1" applyAlignment="1">
      <alignment horizontal="center"/>
    </xf>
    <xf numFmtId="0" fontId="131" fillId="0" borderId="51" xfId="629" applyFont="1" applyFill="1" applyBorder="1"/>
    <xf numFmtId="0" fontId="0" fillId="0" borderId="52" xfId="0" applyBorder="1" applyAlignment="1">
      <alignment horizontal="center"/>
    </xf>
    <xf numFmtId="0" fontId="0" fillId="0" borderId="53" xfId="0" applyBorder="1"/>
    <xf numFmtId="0" fontId="0" fillId="0" borderId="54" xfId="0" applyBorder="1"/>
    <xf numFmtId="0" fontId="0" fillId="0" borderId="55" xfId="0" applyBorder="1"/>
    <xf numFmtId="0" fontId="0" fillId="0" borderId="56" xfId="0" applyBorder="1"/>
    <xf numFmtId="0" fontId="0" fillId="0" borderId="56" xfId="0" applyBorder="1" applyAlignment="1">
      <alignment horizontal="center"/>
    </xf>
    <xf numFmtId="0" fontId="0" fillId="0" borderId="57" xfId="0" applyBorder="1"/>
    <xf numFmtId="0" fontId="0" fillId="0" borderId="58" xfId="0" applyBorder="1" applyAlignment="1">
      <alignment horizontal="center"/>
    </xf>
    <xf numFmtId="0" fontId="115" fillId="33" borderId="45" xfId="629" applyFont="1" applyFill="1" applyBorder="1"/>
    <xf numFmtId="0" fontId="112" fillId="26" borderId="43" xfId="0" applyFont="1" applyFill="1" applyBorder="1" applyAlignment="1">
      <alignment horizontal="center"/>
    </xf>
    <xf numFmtId="0" fontId="0" fillId="0" borderId="50" xfId="0" applyFill="1" applyBorder="1" applyAlignment="1">
      <alignment horizontal="center"/>
    </xf>
    <xf numFmtId="0" fontId="14" fillId="0" borderId="49" xfId="629" applyFill="1" applyBorder="1"/>
    <xf numFmtId="0" fontId="14" fillId="0" borderId="50" xfId="629" applyFill="1" applyBorder="1" applyAlignment="1">
      <alignment horizontal="center"/>
    </xf>
    <xf numFmtId="0" fontId="0" fillId="0" borderId="49" xfId="0" applyFill="1" applyBorder="1"/>
    <xf numFmtId="0" fontId="131" fillId="90" borderId="14" xfId="629" applyFont="1" applyFill="1" applyBorder="1"/>
    <xf numFmtId="0" fontId="159" fillId="0" borderId="0" xfId="296" applyFont="1" applyFill="1" applyBorder="1" applyAlignment="1">
      <alignment horizontal="center" vertical="center"/>
    </xf>
    <xf numFmtId="0" fontId="160" fillId="0" borderId="0" xfId="0" applyFont="1" applyBorder="1" applyAlignment="1" applyProtection="1">
      <alignment horizontal="center" vertical="center"/>
      <protection locked="0"/>
    </xf>
    <xf numFmtId="0" fontId="160" fillId="0" borderId="0" xfId="0" applyFont="1" applyBorder="1" applyAlignment="1">
      <alignment horizontal="center" vertical="center"/>
    </xf>
    <xf numFmtId="0" fontId="160" fillId="0" borderId="0" xfId="0" applyFont="1" applyFill="1" applyBorder="1" applyAlignment="1" applyProtection="1">
      <alignment horizontal="center" vertical="center"/>
      <protection locked="0"/>
    </xf>
    <xf numFmtId="0" fontId="161" fillId="0" borderId="0" xfId="0" applyFont="1" applyFill="1" applyBorder="1" applyAlignment="1" applyProtection="1">
      <alignment horizontal="center" vertical="center"/>
    </xf>
    <xf numFmtId="0" fontId="160" fillId="0" borderId="0" xfId="0" applyFont="1" applyFill="1" applyBorder="1" applyAlignment="1" applyProtection="1">
      <alignment horizontal="center" vertical="center"/>
    </xf>
    <xf numFmtId="0" fontId="162" fillId="0" borderId="0" xfId="0" applyFont="1" applyBorder="1" applyAlignment="1" applyProtection="1">
      <alignment horizontal="left" vertical="center"/>
    </xf>
    <xf numFmtId="0" fontId="160" fillId="0" borderId="0" xfId="0" applyFont="1" applyAlignment="1">
      <alignment horizontal="center"/>
    </xf>
    <xf numFmtId="0" fontId="159" fillId="0" borderId="0" xfId="296" applyFont="1" applyFill="1" applyBorder="1" applyAlignment="1">
      <alignment horizontal="left" vertical="center"/>
    </xf>
    <xf numFmtId="0" fontId="159" fillId="90" borderId="80" xfId="296" applyFont="1" applyFill="1" applyBorder="1" applyAlignment="1">
      <alignment horizontal="center" vertical="center"/>
    </xf>
    <xf numFmtId="0" fontId="159" fillId="90" borderId="84" xfId="296" applyFont="1" applyFill="1" applyBorder="1" applyAlignment="1">
      <alignment horizontal="left" vertical="center"/>
    </xf>
    <xf numFmtId="0" fontId="159" fillId="90" borderId="84" xfId="296" applyFont="1" applyFill="1" applyBorder="1" applyAlignment="1">
      <alignment horizontal="center" vertical="center"/>
    </xf>
    <xf numFmtId="0" fontId="159" fillId="90" borderId="81" xfId="296" applyFont="1" applyFill="1" applyBorder="1" applyAlignment="1">
      <alignment horizontal="center" vertical="center"/>
    </xf>
    <xf numFmtId="0" fontId="159" fillId="90" borderId="87" xfId="296" applyFont="1" applyFill="1" applyBorder="1" applyAlignment="1">
      <alignment horizontal="left" vertical="center"/>
    </xf>
    <xf numFmtId="0" fontId="159" fillId="90" borderId="88" xfId="296" applyFont="1" applyFill="1" applyBorder="1" applyAlignment="1">
      <alignment horizontal="center" vertical="center"/>
    </xf>
    <xf numFmtId="0" fontId="159" fillId="90" borderId="89" xfId="296" applyFont="1" applyFill="1" applyBorder="1" applyAlignment="1">
      <alignment horizontal="center" vertical="center"/>
    </xf>
    <xf numFmtId="0" fontId="160" fillId="0" borderId="0" xfId="0" applyFont="1" applyBorder="1" applyAlignment="1" applyProtection="1">
      <alignment horizontal="left" vertical="center"/>
      <protection locked="0"/>
    </xf>
    <xf numFmtId="0" fontId="163" fillId="0" borderId="0" xfId="296" applyFont="1" applyFill="1" applyBorder="1" applyAlignment="1">
      <alignment horizontal="center" vertical="center"/>
    </xf>
    <xf numFmtId="2" fontId="159" fillId="90" borderId="78" xfId="296" applyNumberFormat="1" applyFont="1" applyFill="1" applyBorder="1" applyAlignment="1">
      <alignment horizontal="center" vertical="center"/>
    </xf>
    <xf numFmtId="0" fontId="159" fillId="90" borderId="85" xfId="296" applyFont="1" applyFill="1" applyBorder="1" applyAlignment="1">
      <alignment horizontal="left" vertical="center"/>
    </xf>
    <xf numFmtId="0" fontId="159" fillId="90" borderId="85" xfId="296" applyFont="1" applyFill="1" applyBorder="1" applyAlignment="1">
      <alignment horizontal="center" vertical="center"/>
    </xf>
    <xf numFmtId="0" fontId="159" fillId="90" borderId="86" xfId="296" applyFont="1" applyFill="1" applyBorder="1" applyAlignment="1">
      <alignment horizontal="center" vertical="center"/>
    </xf>
    <xf numFmtId="2" fontId="159" fillId="90" borderId="0" xfId="296" applyNumberFormat="1" applyFont="1" applyFill="1" applyBorder="1" applyAlignment="1">
      <alignment horizontal="center" vertical="center"/>
    </xf>
    <xf numFmtId="0" fontId="159" fillId="90" borderId="0" xfId="296" applyFont="1" applyFill="1" applyBorder="1" applyAlignment="1">
      <alignment horizontal="left" vertical="center"/>
    </xf>
    <xf numFmtId="0" fontId="159" fillId="90" borderId="0" xfId="296" applyFont="1" applyFill="1" applyBorder="1" applyAlignment="1">
      <alignment horizontal="center" vertical="center"/>
    </xf>
    <xf numFmtId="0" fontId="159" fillId="0" borderId="0" xfId="296" applyFont="1" applyFill="1" applyBorder="1" applyAlignment="1">
      <alignment vertical="center" wrapText="1"/>
    </xf>
    <xf numFmtId="0" fontId="160" fillId="0" borderId="0" xfId="0" applyFont="1" applyBorder="1" applyAlignment="1" applyProtection="1">
      <alignment horizontal="center" vertical="center"/>
    </xf>
    <xf numFmtId="0" fontId="159" fillId="0" borderId="83" xfId="296" applyFont="1" applyFill="1" applyBorder="1" applyAlignment="1">
      <alignment horizontal="center" vertical="center"/>
    </xf>
    <xf numFmtId="0" fontId="160" fillId="0" borderId="82" xfId="0" applyFont="1" applyFill="1" applyBorder="1" applyAlignment="1" applyProtection="1">
      <alignment horizontal="center" vertical="center"/>
    </xf>
    <xf numFmtId="0" fontId="159" fillId="66" borderId="80" xfId="296" applyFont="1" applyFill="1" applyBorder="1" applyAlignment="1">
      <alignment horizontal="left" vertical="center"/>
    </xf>
    <xf numFmtId="0" fontId="159" fillId="66" borderId="84" xfId="296" applyFont="1" applyFill="1" applyBorder="1" applyAlignment="1">
      <alignment horizontal="center" vertical="center"/>
    </xf>
    <xf numFmtId="0" fontId="159" fillId="66" borderId="81" xfId="296" applyFont="1" applyFill="1" applyBorder="1" applyAlignment="1">
      <alignment horizontal="center" vertical="center"/>
    </xf>
    <xf numFmtId="0" fontId="164" fillId="0" borderId="0" xfId="296" applyFont="1" applyFill="1" applyBorder="1" applyAlignment="1">
      <alignment horizontal="center" vertical="center"/>
    </xf>
    <xf numFmtId="0" fontId="160" fillId="0" borderId="83" xfId="0" applyFont="1" applyFill="1" applyBorder="1" applyAlignment="1" applyProtection="1">
      <alignment horizontal="center" vertical="center"/>
    </xf>
    <xf numFmtId="0" fontId="161" fillId="0" borderId="0" xfId="0" applyFont="1" applyBorder="1" applyAlignment="1" applyProtection="1">
      <alignment horizontal="center" vertical="center"/>
    </xf>
    <xf numFmtId="0" fontId="159" fillId="75" borderId="72" xfId="296" applyFont="1" applyFill="1" applyBorder="1" applyAlignment="1">
      <alignment horizontal="center" vertical="center"/>
    </xf>
    <xf numFmtId="0" fontId="159" fillId="66" borderId="78" xfId="296" applyFont="1" applyFill="1" applyBorder="1" applyAlignment="1">
      <alignment horizontal="center" vertical="center"/>
    </xf>
    <xf numFmtId="0" fontId="159" fillId="66" borderId="79" xfId="296" applyFont="1" applyFill="1" applyBorder="1" applyAlignment="1">
      <alignment horizontal="center" vertical="center"/>
    </xf>
    <xf numFmtId="0" fontId="159" fillId="66" borderId="78" xfId="296" applyFont="1" applyFill="1" applyBorder="1" applyAlignment="1">
      <alignment horizontal="left" vertical="center"/>
    </xf>
    <xf numFmtId="0" fontId="159" fillId="66" borderId="85" xfId="296" applyFont="1" applyFill="1" applyBorder="1" applyAlignment="1">
      <alignment horizontal="center" vertical="center"/>
    </xf>
    <xf numFmtId="0" fontId="159" fillId="66" borderId="86" xfId="296" applyFont="1" applyFill="1" applyBorder="1" applyAlignment="1">
      <alignment horizontal="center" vertical="center"/>
    </xf>
    <xf numFmtId="0" fontId="165" fillId="0" borderId="0" xfId="0" applyFont="1" applyBorder="1" applyAlignment="1" applyProtection="1">
      <alignment horizontal="left" vertical="center"/>
      <protection locked="0"/>
    </xf>
    <xf numFmtId="0" fontId="165" fillId="0" borderId="0" xfId="0" applyFont="1" applyBorder="1" applyAlignment="1" applyProtection="1">
      <alignment horizontal="center" vertical="center"/>
      <protection locked="0"/>
    </xf>
    <xf numFmtId="0" fontId="165" fillId="0" borderId="0" xfId="296" applyFont="1" applyFill="1" applyBorder="1" applyAlignment="1">
      <alignment horizontal="center" vertical="center"/>
    </xf>
    <xf numFmtId="0" fontId="161" fillId="0" borderId="0" xfId="0" applyFont="1" applyBorder="1" applyAlignment="1" applyProtection="1">
      <alignment horizontal="center" vertical="center"/>
      <protection locked="0"/>
    </xf>
    <xf numFmtId="0" fontId="159" fillId="0" borderId="0" xfId="296" quotePrefix="1" applyFont="1" applyFill="1" applyBorder="1" applyAlignment="1">
      <alignment horizontal="left" vertical="center"/>
    </xf>
    <xf numFmtId="0" fontId="159" fillId="74" borderId="19" xfId="296" applyFont="1" applyFill="1" applyBorder="1" applyAlignment="1">
      <alignment horizontal="center" vertical="center"/>
    </xf>
    <xf numFmtId="0" fontId="159" fillId="74" borderId="23" xfId="296" applyFont="1" applyFill="1" applyBorder="1" applyAlignment="1">
      <alignment horizontal="center" vertical="center"/>
    </xf>
    <xf numFmtId="0" fontId="160" fillId="76" borderId="28" xfId="0" applyFont="1" applyFill="1" applyBorder="1" applyAlignment="1">
      <alignment horizontal="left" vertical="center"/>
    </xf>
    <xf numFmtId="0" fontId="160" fillId="76" borderId="28" xfId="0" applyFont="1" applyFill="1" applyBorder="1" applyAlignment="1" applyProtection="1">
      <alignment horizontal="center" vertical="center"/>
      <protection locked="0"/>
    </xf>
    <xf numFmtId="0" fontId="161" fillId="76" borderId="0" xfId="0" applyFont="1" applyFill="1" applyBorder="1" applyAlignment="1" applyProtection="1">
      <alignment horizontal="center" vertical="center"/>
      <protection locked="0"/>
    </xf>
    <xf numFmtId="0" fontId="160" fillId="76" borderId="0" xfId="0" applyFont="1" applyFill="1" applyBorder="1" applyAlignment="1" applyProtection="1">
      <alignment horizontal="center" vertical="center"/>
      <protection locked="0"/>
    </xf>
    <xf numFmtId="0" fontId="161" fillId="76" borderId="28" xfId="0" applyFont="1" applyFill="1" applyBorder="1" applyAlignment="1" applyProtection="1">
      <alignment horizontal="center" vertical="center"/>
      <protection locked="0"/>
    </xf>
    <xf numFmtId="0" fontId="159" fillId="76" borderId="28" xfId="296" applyFont="1" applyFill="1" applyBorder="1" applyAlignment="1">
      <alignment horizontal="center" vertical="center"/>
    </xf>
    <xf numFmtId="0" fontId="160" fillId="68" borderId="21" xfId="0" applyFont="1" applyFill="1" applyBorder="1" applyAlignment="1" applyProtection="1">
      <alignment horizontal="left" vertical="center"/>
      <protection locked="0"/>
    </xf>
    <xf numFmtId="0" fontId="160" fillId="68" borderId="28" xfId="296" applyFont="1" applyFill="1" applyBorder="1" applyAlignment="1">
      <alignment horizontal="center" vertical="center"/>
    </xf>
    <xf numFmtId="0" fontId="160" fillId="68" borderId="26" xfId="296" applyFont="1" applyFill="1" applyBorder="1" applyAlignment="1">
      <alignment horizontal="center" vertical="center"/>
    </xf>
    <xf numFmtId="0" fontId="160" fillId="68" borderId="0" xfId="296" applyFont="1" applyFill="1" applyBorder="1" applyAlignment="1">
      <alignment horizontal="center" vertical="center"/>
    </xf>
    <xf numFmtId="0" fontId="160" fillId="70" borderId="21" xfId="296" applyFont="1" applyFill="1" applyBorder="1" applyAlignment="1">
      <alignment horizontal="left" vertical="center"/>
    </xf>
    <xf numFmtId="0" fontId="160" fillId="70" borderId="28" xfId="296" applyFont="1" applyFill="1" applyBorder="1" applyAlignment="1">
      <alignment horizontal="center" vertical="center"/>
    </xf>
    <xf numFmtId="0" fontId="160" fillId="70" borderId="22" xfId="296" applyFont="1" applyFill="1" applyBorder="1" applyAlignment="1">
      <alignment horizontal="center" vertical="center"/>
    </xf>
    <xf numFmtId="0" fontId="160" fillId="61" borderId="21" xfId="296" applyFont="1" applyFill="1" applyBorder="1" applyAlignment="1">
      <alignment horizontal="left" vertical="center"/>
    </xf>
    <xf numFmtId="0" fontId="160" fillId="61" borderId="28" xfId="296" applyFont="1" applyFill="1" applyBorder="1" applyAlignment="1">
      <alignment horizontal="center" vertical="center"/>
    </xf>
    <xf numFmtId="0" fontId="160" fillId="61" borderId="22" xfId="296" applyFont="1" applyFill="1" applyBorder="1" applyAlignment="1">
      <alignment horizontal="center" vertical="center"/>
    </xf>
    <xf numFmtId="0" fontId="160" fillId="63" borderId="21" xfId="296" applyFont="1" applyFill="1" applyBorder="1" applyAlignment="1">
      <alignment horizontal="left" vertical="center"/>
    </xf>
    <xf numFmtId="0" fontId="160" fillId="63" borderId="28" xfId="296" applyFont="1" applyFill="1" applyBorder="1" applyAlignment="1">
      <alignment horizontal="center" vertical="center"/>
    </xf>
    <xf numFmtId="0" fontId="160" fillId="63" borderId="22" xfId="296" applyFont="1" applyFill="1" applyBorder="1" applyAlignment="1">
      <alignment horizontal="center" vertical="center"/>
    </xf>
    <xf numFmtId="0" fontId="160" fillId="69" borderId="21" xfId="296" applyFont="1" applyFill="1" applyBorder="1" applyAlignment="1">
      <alignment horizontal="left" vertical="center"/>
    </xf>
    <xf numFmtId="0" fontId="160" fillId="69" borderId="28" xfId="296" applyFont="1" applyFill="1" applyBorder="1" applyAlignment="1">
      <alignment horizontal="center" vertical="center"/>
    </xf>
    <xf numFmtId="0" fontId="160" fillId="69" borderId="22" xfId="296" applyFont="1" applyFill="1" applyBorder="1" applyAlignment="1">
      <alignment horizontal="center" vertical="center"/>
    </xf>
    <xf numFmtId="0" fontId="167" fillId="70" borderId="22" xfId="296" applyFont="1" applyFill="1" applyBorder="1" applyAlignment="1">
      <alignment horizontal="center" vertical="center"/>
    </xf>
    <xf numFmtId="0" fontId="160" fillId="76" borderId="21" xfId="296" applyFont="1" applyFill="1" applyBorder="1" applyAlignment="1">
      <alignment horizontal="left" vertical="center"/>
    </xf>
    <xf numFmtId="0" fontId="160" fillId="76" borderId="28" xfId="296" applyFont="1" applyFill="1" applyBorder="1" applyAlignment="1">
      <alignment horizontal="center" vertical="center"/>
    </xf>
    <xf numFmtId="0" fontId="160" fillId="76" borderId="22" xfId="296" applyFont="1" applyFill="1" applyBorder="1" applyAlignment="1">
      <alignment horizontal="center" vertical="center"/>
    </xf>
    <xf numFmtId="0" fontId="160" fillId="62" borderId="21" xfId="296" applyFont="1" applyFill="1" applyBorder="1" applyAlignment="1">
      <alignment horizontal="left" vertical="center"/>
    </xf>
    <xf numFmtId="0" fontId="160" fillId="62" borderId="28" xfId="296" applyFont="1" applyFill="1" applyBorder="1" applyAlignment="1">
      <alignment horizontal="center" vertical="center"/>
    </xf>
    <xf numFmtId="0" fontId="160" fillId="62" borderId="22" xfId="296" applyFont="1" applyFill="1" applyBorder="1" applyAlignment="1">
      <alignment horizontal="center" vertical="center"/>
    </xf>
    <xf numFmtId="0" fontId="160" fillId="86" borderId="21" xfId="296" applyFont="1" applyFill="1" applyBorder="1" applyAlignment="1">
      <alignment horizontal="left" vertical="center"/>
    </xf>
    <xf numFmtId="0" fontId="160" fillId="86" borderId="28" xfId="296" applyFont="1" applyFill="1" applyBorder="1" applyAlignment="1">
      <alignment horizontal="center" vertical="center"/>
    </xf>
    <xf numFmtId="0" fontId="160" fillId="86" borderId="22" xfId="296" applyFont="1" applyFill="1" applyBorder="1" applyAlignment="1">
      <alignment horizontal="center" vertical="center"/>
    </xf>
    <xf numFmtId="0" fontId="160" fillId="0" borderId="21" xfId="296" applyFont="1" applyFill="1" applyBorder="1" applyAlignment="1">
      <alignment horizontal="left" vertical="center"/>
    </xf>
    <xf numFmtId="0" fontId="160" fillId="0" borderId="22" xfId="296" applyFont="1" applyFill="1" applyBorder="1" applyAlignment="1">
      <alignment horizontal="center" vertical="center"/>
    </xf>
    <xf numFmtId="0" fontId="160" fillId="83" borderId="21" xfId="296" applyFont="1" applyFill="1" applyBorder="1" applyAlignment="1">
      <alignment horizontal="left" vertical="center"/>
    </xf>
    <xf numFmtId="0" fontId="160" fillId="83" borderId="28" xfId="296" applyFont="1" applyFill="1" applyBorder="1" applyAlignment="1">
      <alignment horizontal="center" vertical="center"/>
    </xf>
    <xf numFmtId="0" fontId="160" fillId="83" borderId="22" xfId="296" applyFont="1" applyFill="1" applyBorder="1" applyAlignment="1">
      <alignment horizontal="center" vertical="center"/>
    </xf>
    <xf numFmtId="0" fontId="167" fillId="82" borderId="21" xfId="296" applyFont="1" applyFill="1" applyBorder="1" applyAlignment="1">
      <alignment horizontal="left" vertical="center"/>
    </xf>
    <xf numFmtId="0" fontId="167" fillId="82" borderId="28" xfId="296" applyFont="1" applyFill="1" applyBorder="1" applyAlignment="1">
      <alignment horizontal="center" vertical="center"/>
    </xf>
    <xf numFmtId="0" fontId="167" fillId="82" borderId="22" xfId="296" applyFont="1" applyFill="1" applyBorder="1" applyAlignment="1">
      <alignment horizontal="center" vertical="center"/>
    </xf>
    <xf numFmtId="0" fontId="159" fillId="74" borderId="74" xfId="296" applyFont="1" applyFill="1" applyBorder="1" applyAlignment="1">
      <alignment horizontal="left" vertical="center"/>
    </xf>
    <xf numFmtId="0" fontId="159" fillId="74" borderId="26" xfId="296" applyFont="1" applyFill="1" applyBorder="1" applyAlignment="1">
      <alignment horizontal="center" vertical="center"/>
    </xf>
    <xf numFmtId="0" fontId="159" fillId="74" borderId="75" xfId="296" applyFont="1" applyFill="1" applyBorder="1" applyAlignment="1">
      <alignment horizontal="center" vertical="center"/>
    </xf>
    <xf numFmtId="0" fontId="159" fillId="83" borderId="26" xfId="296" applyFont="1" applyFill="1" applyBorder="1" applyAlignment="1">
      <alignment horizontal="center" vertical="center"/>
    </xf>
    <xf numFmtId="0" fontId="159" fillId="75" borderId="74" xfId="296" applyFont="1" applyFill="1" applyBorder="1" applyAlignment="1">
      <alignment horizontal="left" vertical="center"/>
    </xf>
    <xf numFmtId="0" fontId="159" fillId="75" borderId="26" xfId="296" applyFont="1" applyFill="1" applyBorder="1" applyAlignment="1">
      <alignment horizontal="center" vertical="center"/>
    </xf>
    <xf numFmtId="0" fontId="159" fillId="75" borderId="75" xfId="296" applyFont="1" applyFill="1" applyBorder="1" applyAlignment="1">
      <alignment horizontal="center" vertical="center"/>
    </xf>
    <xf numFmtId="0" fontId="160" fillId="69" borderId="74" xfId="296" applyFont="1" applyFill="1" applyBorder="1" applyAlignment="1">
      <alignment horizontal="left" vertical="center"/>
    </xf>
    <xf numFmtId="0" fontId="160" fillId="69" borderId="26" xfId="296" applyFont="1" applyFill="1" applyBorder="1" applyAlignment="1">
      <alignment horizontal="center" vertical="center" wrapText="1"/>
    </xf>
    <xf numFmtId="0" fontId="160" fillId="69" borderId="75" xfId="296" applyFont="1" applyFill="1" applyBorder="1" applyAlignment="1">
      <alignment horizontal="center" vertical="center"/>
    </xf>
    <xf numFmtId="0" fontId="159" fillId="63" borderId="74" xfId="296" applyFont="1" applyFill="1" applyBorder="1" applyAlignment="1">
      <alignment horizontal="center" vertical="center"/>
    </xf>
    <xf numFmtId="0" fontId="159" fillId="63" borderId="26" xfId="296" applyFont="1" applyFill="1" applyBorder="1" applyAlignment="1">
      <alignment horizontal="center" vertical="center"/>
    </xf>
    <xf numFmtId="0" fontId="159" fillId="63" borderId="75" xfId="296" applyFont="1" applyFill="1" applyBorder="1" applyAlignment="1">
      <alignment horizontal="center" vertical="center"/>
    </xf>
    <xf numFmtId="0" fontId="162" fillId="61" borderId="74" xfId="305" applyFont="1" applyFill="1" applyBorder="1" applyAlignment="1">
      <alignment horizontal="center" vertical="center" wrapText="1"/>
    </xf>
    <xf numFmtId="0" fontId="162" fillId="61" borderId="26" xfId="305" applyFont="1" applyFill="1" applyBorder="1" applyAlignment="1">
      <alignment horizontal="center" vertical="center" wrapText="1"/>
    </xf>
    <xf numFmtId="0" fontId="162" fillId="61" borderId="75" xfId="305" applyFont="1" applyFill="1" applyBorder="1" applyAlignment="1">
      <alignment horizontal="center" vertical="center" wrapText="1"/>
    </xf>
    <xf numFmtId="0" fontId="162" fillId="81" borderId="74" xfId="305" applyFont="1" applyFill="1" applyBorder="1" applyAlignment="1">
      <alignment horizontal="center" vertical="center" wrapText="1"/>
    </xf>
    <xf numFmtId="0" fontId="162" fillId="81" borderId="26" xfId="305" applyFont="1" applyFill="1" applyBorder="1" applyAlignment="1">
      <alignment horizontal="center" vertical="center" wrapText="1"/>
    </xf>
    <xf numFmtId="0" fontId="162" fillId="81" borderId="75" xfId="305" applyFont="1" applyFill="1" applyBorder="1" applyAlignment="1">
      <alignment horizontal="center" vertical="center" wrapText="1"/>
    </xf>
    <xf numFmtId="0" fontId="168" fillId="74" borderId="20" xfId="305" applyFont="1" applyFill="1" applyBorder="1" applyAlignment="1">
      <alignment horizontal="center" vertical="center" wrapText="1"/>
    </xf>
    <xf numFmtId="0" fontId="162" fillId="69" borderId="74" xfId="305" applyFont="1" applyFill="1" applyBorder="1" applyAlignment="1">
      <alignment horizontal="center" vertical="center" wrapText="1"/>
    </xf>
    <xf numFmtId="0" fontId="162" fillId="69" borderId="75" xfId="0" applyFont="1" applyFill="1" applyBorder="1" applyAlignment="1" applyProtection="1">
      <alignment horizontal="center" vertical="center" wrapText="1"/>
      <protection locked="0"/>
    </xf>
    <xf numFmtId="0" fontId="169" fillId="62" borderId="74" xfId="0" applyFont="1" applyFill="1" applyBorder="1" applyAlignment="1" applyProtection="1">
      <alignment horizontal="center" vertical="center"/>
      <protection locked="0"/>
    </xf>
    <xf numFmtId="0" fontId="169" fillId="62" borderId="26" xfId="305" applyFont="1" applyFill="1" applyBorder="1" applyAlignment="1">
      <alignment horizontal="center" vertical="center"/>
    </xf>
    <xf numFmtId="0" fontId="169" fillId="62" borderId="75" xfId="0" applyFont="1" applyFill="1" applyBorder="1" applyAlignment="1" applyProtection="1">
      <alignment horizontal="center" vertical="center" wrapText="1"/>
      <protection locked="0"/>
    </xf>
    <xf numFmtId="0" fontId="169" fillId="70" borderId="74" xfId="305" applyFont="1" applyFill="1" applyBorder="1" applyAlignment="1">
      <alignment horizontal="center" vertical="center" wrapText="1"/>
    </xf>
    <xf numFmtId="0" fontId="160" fillId="76" borderId="26" xfId="0" applyFont="1" applyFill="1" applyBorder="1" applyAlignment="1" applyProtection="1">
      <alignment horizontal="center" vertical="center" wrapText="1"/>
      <protection locked="0"/>
    </xf>
    <xf numFmtId="2" fontId="160" fillId="76" borderId="26" xfId="0" applyNumberFormat="1" applyFont="1" applyFill="1" applyBorder="1" applyAlignment="1" applyProtection="1">
      <alignment horizontal="center" vertical="center" wrapText="1"/>
      <protection locked="0"/>
    </xf>
    <xf numFmtId="164" fontId="160" fillId="76" borderId="26" xfId="0" applyNumberFormat="1" applyFont="1" applyFill="1" applyBorder="1" applyAlignment="1" applyProtection="1">
      <alignment horizontal="center" vertical="center" wrapText="1"/>
      <protection locked="0"/>
    </xf>
    <xf numFmtId="0" fontId="160" fillId="76" borderId="26" xfId="0" applyFont="1" applyFill="1" applyBorder="1" applyAlignment="1" applyProtection="1">
      <alignment horizontal="center" vertical="center"/>
      <protection locked="0"/>
    </xf>
    <xf numFmtId="0" fontId="159" fillId="76" borderId="26" xfId="296" applyFont="1" applyFill="1" applyBorder="1" applyAlignment="1">
      <alignment horizontal="center" vertical="center"/>
    </xf>
    <xf numFmtId="0" fontId="160" fillId="83" borderId="20" xfId="0" applyFont="1" applyFill="1" applyBorder="1" applyAlignment="1" applyProtection="1">
      <alignment horizontal="center" vertical="center" wrapText="1"/>
      <protection locked="0"/>
    </xf>
    <xf numFmtId="0" fontId="159" fillId="85" borderId="20" xfId="296" applyFont="1" applyFill="1" applyBorder="1" applyAlignment="1">
      <alignment horizontal="center" vertical="center" wrapText="1"/>
    </xf>
    <xf numFmtId="0" fontId="159" fillId="66" borderId="20" xfId="296" applyFont="1" applyFill="1" applyBorder="1" applyAlignment="1">
      <alignment horizontal="center" vertical="center" wrapText="1"/>
    </xf>
    <xf numFmtId="0" fontId="159" fillId="68" borderId="74" xfId="296" applyFont="1" applyFill="1" applyBorder="1" applyAlignment="1">
      <alignment horizontal="center" vertical="center" wrapText="1"/>
    </xf>
    <xf numFmtId="0" fontId="159" fillId="68" borderId="26" xfId="296" applyFont="1" applyFill="1" applyBorder="1" applyAlignment="1">
      <alignment horizontal="center" vertical="center" wrapText="1"/>
    </xf>
    <xf numFmtId="0" fontId="159" fillId="68" borderId="75" xfId="296" applyFont="1" applyFill="1" applyBorder="1" applyAlignment="1">
      <alignment horizontal="center" vertical="center" wrapText="1"/>
    </xf>
    <xf numFmtId="0" fontId="159" fillId="65" borderId="74" xfId="296" applyFont="1" applyFill="1" applyBorder="1" applyAlignment="1">
      <alignment horizontal="center" vertical="center" wrapText="1"/>
    </xf>
    <xf numFmtId="0" fontId="159" fillId="65" borderId="75" xfId="296" applyFont="1" applyFill="1" applyBorder="1" applyAlignment="1">
      <alignment horizontal="center" vertical="center" wrapText="1"/>
    </xf>
    <xf numFmtId="0" fontId="160" fillId="70" borderId="24" xfId="296" applyFont="1" applyFill="1" applyBorder="1" applyAlignment="1">
      <alignment horizontal="center" vertical="center" wrapText="1"/>
    </xf>
    <xf numFmtId="0" fontId="160" fillId="70" borderId="18" xfId="296" applyFont="1" applyFill="1" applyBorder="1" applyAlignment="1">
      <alignment horizontal="center" vertical="center" wrapText="1"/>
    </xf>
    <xf numFmtId="0" fontId="160" fillId="70" borderId="25" xfId="296" applyFont="1" applyFill="1" applyBorder="1" applyAlignment="1">
      <alignment horizontal="center" vertical="center" wrapText="1"/>
    </xf>
    <xf numFmtId="0" fontId="160" fillId="61" borderId="24" xfId="296" applyFont="1" applyFill="1" applyBorder="1" applyAlignment="1">
      <alignment horizontal="center" vertical="center" wrapText="1"/>
    </xf>
    <xf numFmtId="0" fontId="160" fillId="61" borderId="18" xfId="296" applyFont="1" applyFill="1" applyBorder="1" applyAlignment="1">
      <alignment horizontal="center" vertical="center" wrapText="1"/>
    </xf>
    <xf numFmtId="0" fontId="160" fillId="61" borderId="25" xfId="296" applyFont="1" applyFill="1" applyBorder="1" applyAlignment="1">
      <alignment horizontal="center" vertical="center" wrapText="1"/>
    </xf>
    <xf numFmtId="0" fontId="160" fillId="63" borderId="24" xfId="296" applyFont="1" applyFill="1" applyBorder="1" applyAlignment="1">
      <alignment horizontal="center" vertical="center" wrapText="1"/>
    </xf>
    <xf numFmtId="0" fontId="160" fillId="63" borderId="18" xfId="296" applyFont="1" applyFill="1" applyBorder="1" applyAlignment="1">
      <alignment horizontal="center" vertical="center" wrapText="1"/>
    </xf>
    <xf numFmtId="0" fontId="160" fillId="63" borderId="25" xfId="296" applyFont="1" applyFill="1" applyBorder="1" applyAlignment="1">
      <alignment horizontal="center" vertical="center" wrapText="1"/>
    </xf>
    <xf numFmtId="0" fontId="160" fillId="69" borderId="24" xfId="296" applyFont="1" applyFill="1" applyBorder="1" applyAlignment="1">
      <alignment horizontal="center" vertical="center" wrapText="1"/>
    </xf>
    <xf numFmtId="0" fontId="160" fillId="69" borderId="18" xfId="296" applyFont="1" applyFill="1" applyBorder="1" applyAlignment="1">
      <alignment horizontal="center" vertical="center" wrapText="1"/>
    </xf>
    <xf numFmtId="0" fontId="160" fillId="69" borderId="25" xfId="296" applyFont="1" applyFill="1" applyBorder="1" applyAlignment="1">
      <alignment horizontal="center" vertical="center" wrapText="1"/>
    </xf>
    <xf numFmtId="0" fontId="160" fillId="76" borderId="24" xfId="296" applyFont="1" applyFill="1" applyBorder="1" applyAlignment="1">
      <alignment horizontal="center" vertical="center" wrapText="1"/>
    </xf>
    <xf numFmtId="0" fontId="160" fillId="76" borderId="18" xfId="296" applyFont="1" applyFill="1" applyBorder="1" applyAlignment="1">
      <alignment horizontal="center" vertical="center" wrapText="1"/>
    </xf>
    <xf numFmtId="0" fontId="160" fillId="76" borderId="25" xfId="296" applyFont="1" applyFill="1" applyBorder="1" applyAlignment="1">
      <alignment horizontal="center" vertical="center" wrapText="1"/>
    </xf>
    <xf numFmtId="0" fontId="160" fillId="62" borderId="24" xfId="296" applyFont="1" applyFill="1" applyBorder="1" applyAlignment="1">
      <alignment horizontal="center" vertical="center" wrapText="1"/>
    </xf>
    <xf numFmtId="0" fontId="160" fillId="62" borderId="18" xfId="296" applyFont="1" applyFill="1" applyBorder="1" applyAlignment="1">
      <alignment horizontal="center" vertical="center" wrapText="1"/>
    </xf>
    <xf numFmtId="0" fontId="160" fillId="62" borderId="25" xfId="296" applyFont="1" applyFill="1" applyBorder="1" applyAlignment="1">
      <alignment horizontal="center" vertical="center" wrapText="1"/>
    </xf>
    <xf numFmtId="0" fontId="160" fillId="86" borderId="24" xfId="296" applyFont="1" applyFill="1" applyBorder="1" applyAlignment="1">
      <alignment horizontal="center" vertical="center" wrapText="1"/>
    </xf>
    <xf numFmtId="0" fontId="160" fillId="86" borderId="18" xfId="296" applyFont="1" applyFill="1" applyBorder="1" applyAlignment="1">
      <alignment horizontal="center" vertical="center" wrapText="1"/>
    </xf>
    <xf numFmtId="0" fontId="160" fillId="86" borderId="25" xfId="296" applyFont="1" applyFill="1" applyBorder="1" applyAlignment="1">
      <alignment horizontal="center" vertical="center" wrapText="1"/>
    </xf>
    <xf numFmtId="0" fontId="160" fillId="0" borderId="24" xfId="296" applyFont="1" applyFill="1" applyBorder="1" applyAlignment="1">
      <alignment horizontal="center" vertical="center"/>
    </xf>
    <xf numFmtId="0" fontId="160" fillId="0" borderId="25" xfId="296" applyFont="1" applyFill="1" applyBorder="1" applyAlignment="1">
      <alignment horizontal="center" vertical="center" wrapText="1"/>
    </xf>
    <xf numFmtId="0" fontId="160" fillId="83" borderId="24" xfId="296" applyFont="1" applyFill="1" applyBorder="1" applyAlignment="1">
      <alignment horizontal="center" vertical="center" wrapText="1"/>
    </xf>
    <xf numFmtId="0" fontId="160" fillId="83" borderId="18" xfId="296" applyFont="1" applyFill="1" applyBorder="1" applyAlignment="1">
      <alignment horizontal="center" vertical="center" wrapText="1"/>
    </xf>
    <xf numFmtId="0" fontId="160" fillId="83" borderId="25" xfId="296" applyFont="1" applyFill="1" applyBorder="1" applyAlignment="1">
      <alignment horizontal="center" vertical="center" wrapText="1"/>
    </xf>
    <xf numFmtId="0" fontId="160" fillId="69" borderId="24" xfId="296" applyFont="1" applyFill="1" applyBorder="1" applyAlignment="1">
      <alignment horizontal="center" vertical="center"/>
    </xf>
    <xf numFmtId="0" fontId="160" fillId="69" borderId="18" xfId="296" applyFont="1" applyFill="1" applyBorder="1" applyAlignment="1">
      <alignment horizontal="center" vertical="center"/>
    </xf>
    <xf numFmtId="0" fontId="167" fillId="82" borderId="24" xfId="296" applyFont="1" applyFill="1" applyBorder="1" applyAlignment="1">
      <alignment horizontal="center" vertical="center" wrapText="1"/>
    </xf>
    <xf numFmtId="0" fontId="167" fillId="82" borderId="18" xfId="296" applyFont="1" applyFill="1" applyBorder="1" applyAlignment="1">
      <alignment horizontal="center" vertical="center" wrapText="1"/>
    </xf>
    <xf numFmtId="0" fontId="167" fillId="82" borderId="25" xfId="296" applyFont="1" applyFill="1" applyBorder="1" applyAlignment="1">
      <alignment horizontal="center" vertical="center" wrapText="1"/>
    </xf>
    <xf numFmtId="0" fontId="159" fillId="74" borderId="75" xfId="296" applyFont="1" applyFill="1" applyBorder="1" applyAlignment="1">
      <alignment horizontal="center" wrapText="1"/>
    </xf>
    <xf numFmtId="0" fontId="159" fillId="83" borderId="26" xfId="296" applyFont="1" applyFill="1" applyBorder="1" applyAlignment="1">
      <alignment horizontal="center" vertical="center" wrapText="1"/>
    </xf>
    <xf numFmtId="0" fontId="159" fillId="75" borderId="75" xfId="296" applyFont="1" applyFill="1" applyBorder="1" applyAlignment="1">
      <alignment horizontal="center" vertical="center" wrapText="1"/>
    </xf>
    <xf numFmtId="0" fontId="160" fillId="69" borderId="75" xfId="296" applyFont="1" applyFill="1" applyBorder="1" applyAlignment="1">
      <alignment horizontal="center" vertical="center" wrapText="1"/>
    </xf>
    <xf numFmtId="0" fontId="159" fillId="63" borderId="75" xfId="296" applyFont="1" applyFill="1" applyBorder="1" applyAlignment="1">
      <alignment horizontal="center" vertical="center" wrapText="1"/>
    </xf>
    <xf numFmtId="0" fontId="159" fillId="99" borderId="75" xfId="296" applyFont="1" applyFill="1" applyBorder="1" applyAlignment="1">
      <alignment horizontal="center" vertical="center" wrapText="1"/>
    </xf>
    <xf numFmtId="166" fontId="160" fillId="84" borderId="21" xfId="0" applyNumberFormat="1" applyFont="1" applyFill="1" applyBorder="1" applyAlignment="1" applyProtection="1">
      <alignment horizontal="center" vertical="center"/>
      <protection locked="0"/>
    </xf>
    <xf numFmtId="166" fontId="160" fillId="84" borderId="28" xfId="0" applyNumberFormat="1" applyFont="1" applyFill="1" applyBorder="1" applyAlignment="1" applyProtection="1">
      <alignment horizontal="center" vertical="center"/>
      <protection locked="0"/>
    </xf>
    <xf numFmtId="1" fontId="160" fillId="84" borderId="28" xfId="0" applyNumberFormat="1" applyFont="1" applyFill="1" applyBorder="1" applyAlignment="1" applyProtection="1">
      <alignment horizontal="center" vertical="center"/>
      <protection locked="0"/>
    </xf>
    <xf numFmtId="1" fontId="160" fillId="84" borderId="22" xfId="0" applyNumberFormat="1" applyFont="1" applyFill="1" applyBorder="1" applyAlignment="1" applyProtection="1">
      <alignment horizontal="center" vertical="center"/>
      <protection locked="0"/>
    </xf>
    <xf numFmtId="166" fontId="160" fillId="60" borderId="21" xfId="0" applyNumberFormat="1" applyFont="1" applyFill="1" applyBorder="1" applyAlignment="1" applyProtection="1">
      <alignment horizontal="center" vertical="center"/>
      <protection locked="0"/>
    </xf>
    <xf numFmtId="166" fontId="160" fillId="60" borderId="28" xfId="0" applyNumberFormat="1" applyFont="1" applyFill="1" applyBorder="1" applyAlignment="1" applyProtection="1">
      <alignment horizontal="center" vertical="center"/>
      <protection locked="0"/>
    </xf>
    <xf numFmtId="1" fontId="160" fillId="60" borderId="22" xfId="0" applyNumberFormat="1" applyFont="1" applyFill="1" applyBorder="1" applyAlignment="1" applyProtection="1">
      <alignment horizontal="center" vertical="center"/>
      <protection locked="0"/>
    </xf>
    <xf numFmtId="0" fontId="160" fillId="71" borderId="19" xfId="301" applyFont="1" applyFill="1" applyBorder="1" applyAlignment="1">
      <alignment horizontal="center"/>
    </xf>
    <xf numFmtId="0" fontId="159" fillId="71" borderId="23" xfId="296" applyFont="1" applyFill="1" applyBorder="1" applyAlignment="1">
      <alignment horizontal="left" vertical="center"/>
    </xf>
    <xf numFmtId="17" fontId="159" fillId="64" borderId="21" xfId="296" quotePrefix="1" applyNumberFormat="1" applyFont="1" applyFill="1" applyBorder="1" applyAlignment="1">
      <alignment horizontal="center" vertical="center" wrapText="1"/>
    </xf>
    <xf numFmtId="0" fontId="160" fillId="64" borderId="0" xfId="0" applyFont="1" applyFill="1" applyBorder="1" applyAlignment="1">
      <alignment horizontal="center" vertical="center"/>
    </xf>
    <xf numFmtId="0" fontId="159" fillId="64" borderId="23" xfId="629" applyFont="1" applyFill="1" applyBorder="1" applyAlignment="1">
      <alignment horizontal="center" vertical="center"/>
    </xf>
    <xf numFmtId="0" fontId="160" fillId="73" borderId="73" xfId="0" applyFont="1" applyFill="1" applyBorder="1" applyAlignment="1">
      <alignment horizontal="center" vertical="center"/>
    </xf>
    <xf numFmtId="0" fontId="159" fillId="0" borderId="21" xfId="296" applyFont="1" applyFill="1" applyBorder="1" applyAlignment="1">
      <alignment horizontal="center" vertical="center"/>
    </xf>
    <xf numFmtId="0" fontId="159" fillId="0" borderId="28" xfId="296" applyFont="1" applyFill="1" applyBorder="1" applyAlignment="1">
      <alignment horizontal="center" vertical="center"/>
    </xf>
    <xf numFmtId="2" fontId="159" fillId="88" borderId="28" xfId="296" applyNumberFormat="1" applyFont="1" applyFill="1" applyBorder="1" applyAlignment="1">
      <alignment horizontal="center" vertical="center"/>
    </xf>
    <xf numFmtId="2" fontId="159" fillId="72" borderId="22" xfId="296" applyNumberFormat="1" applyFont="1" applyFill="1" applyBorder="1" applyAlignment="1">
      <alignment horizontal="center" vertical="center"/>
    </xf>
    <xf numFmtId="0" fontId="159" fillId="0" borderId="19" xfId="296" applyFont="1" applyFill="1" applyBorder="1" applyAlignment="1">
      <alignment horizontal="center" vertical="center"/>
    </xf>
    <xf numFmtId="2" fontId="159" fillId="0" borderId="0" xfId="296" applyNumberFormat="1" applyFont="1" applyFill="1" applyBorder="1" applyAlignment="1">
      <alignment horizontal="center" vertical="center"/>
    </xf>
    <xf numFmtId="2" fontId="159" fillId="85" borderId="0" xfId="296" applyNumberFormat="1" applyFont="1" applyFill="1" applyBorder="1" applyAlignment="1">
      <alignment horizontal="center" vertical="center"/>
    </xf>
    <xf numFmtId="2" fontId="159" fillId="84" borderId="23" xfId="296" applyNumberFormat="1" applyFont="1" applyFill="1" applyBorder="1" applyAlignment="1">
      <alignment horizontal="center" vertical="center"/>
    </xf>
    <xf numFmtId="164" fontId="159" fillId="67" borderId="0" xfId="296" applyNumberFormat="1" applyFont="1" applyFill="1" applyBorder="1" applyAlignment="1">
      <alignment horizontal="center" vertical="center"/>
    </xf>
    <xf numFmtId="2" fontId="159" fillId="64" borderId="23" xfId="296" applyNumberFormat="1" applyFont="1" applyFill="1" applyBorder="1" applyAlignment="1">
      <alignment horizontal="center" vertical="center"/>
    </xf>
    <xf numFmtId="166" fontId="159" fillId="0" borderId="21" xfId="296" applyNumberFormat="1" applyFont="1" applyFill="1" applyBorder="1" applyAlignment="1">
      <alignment horizontal="center" vertical="center"/>
    </xf>
    <xf numFmtId="2" fontId="159" fillId="0" borderId="28" xfId="296" applyNumberFormat="1" applyFont="1" applyFill="1" applyBorder="1" applyAlignment="1">
      <alignment horizontal="center" vertical="center"/>
    </xf>
    <xf numFmtId="2" fontId="159" fillId="87" borderId="28" xfId="296" applyNumberFormat="1" applyFont="1" applyFill="1" applyBorder="1" applyAlignment="1">
      <alignment horizontal="center" vertical="center"/>
    </xf>
    <xf numFmtId="2" fontId="159" fillId="71" borderId="22" xfId="296" applyNumberFormat="1" applyFont="1" applyFill="1" applyBorder="1" applyAlignment="1">
      <alignment horizontal="center" vertical="center"/>
    </xf>
    <xf numFmtId="164" fontId="159" fillId="0" borderId="19" xfId="296" applyNumberFormat="1" applyFont="1" applyFill="1" applyBorder="1" applyAlignment="1">
      <alignment horizontal="center" vertical="center"/>
    </xf>
    <xf numFmtId="164" fontId="159" fillId="0" borderId="0" xfId="296" applyNumberFormat="1" applyFont="1" applyFill="1" applyBorder="1" applyAlignment="1">
      <alignment horizontal="center" vertical="center"/>
    </xf>
    <xf numFmtId="2" fontId="159" fillId="73" borderId="0" xfId="296" applyNumberFormat="1" applyFont="1" applyFill="1" applyBorder="1" applyAlignment="1">
      <alignment horizontal="center" vertical="center"/>
    </xf>
    <xf numFmtId="2" fontId="159" fillId="72" borderId="23" xfId="296" applyNumberFormat="1" applyFont="1" applyFill="1" applyBorder="1" applyAlignment="1">
      <alignment horizontal="center" vertical="center"/>
    </xf>
    <xf numFmtId="164" fontId="159" fillId="89" borderId="0" xfId="296" applyNumberFormat="1" applyFont="1" applyFill="1" applyBorder="1" applyAlignment="1">
      <alignment horizontal="center" vertical="center"/>
    </xf>
    <xf numFmtId="2" fontId="159" fillId="77" borderId="0" xfId="296" applyNumberFormat="1" applyFont="1" applyFill="1" applyBorder="1" applyAlignment="1">
      <alignment horizontal="center" vertical="center"/>
    </xf>
    <xf numFmtId="2" fontId="159" fillId="0" borderId="23" xfId="296" applyNumberFormat="1" applyFont="1" applyFill="1" applyBorder="1" applyAlignment="1">
      <alignment horizontal="center" vertical="center"/>
    </xf>
    <xf numFmtId="2" fontId="159" fillId="78" borderId="0" xfId="296" applyNumberFormat="1" applyFont="1" applyFill="1" applyBorder="1" applyAlignment="1">
      <alignment horizontal="center" vertical="center"/>
    </xf>
    <xf numFmtId="2" fontId="159" fillId="67" borderId="23" xfId="296" applyNumberFormat="1" applyFont="1" applyFill="1" applyBorder="1" applyAlignment="1">
      <alignment horizontal="center" vertical="center"/>
    </xf>
    <xf numFmtId="166" fontId="159" fillId="0" borderId="0" xfId="296" applyNumberFormat="1" applyFont="1" applyFill="1" applyBorder="1" applyAlignment="1">
      <alignment horizontal="center" vertical="center"/>
    </xf>
    <xf numFmtId="168" fontId="159" fillId="60" borderId="0" xfId="296" applyNumberFormat="1" applyFont="1" applyFill="1" applyBorder="1" applyAlignment="1">
      <alignment horizontal="center" vertical="center"/>
    </xf>
    <xf numFmtId="2" fontId="159" fillId="66" borderId="23" xfId="296" applyNumberFormat="1" applyFont="1" applyFill="1" applyBorder="1" applyAlignment="1">
      <alignment horizontal="center" vertical="center"/>
    </xf>
    <xf numFmtId="2" fontId="159" fillId="0" borderId="19" xfId="296" applyNumberFormat="1" applyFont="1" applyFill="1" applyBorder="1" applyAlignment="1">
      <alignment horizontal="center" vertical="center"/>
    </xf>
    <xf numFmtId="164" fontId="159" fillId="0" borderId="28" xfId="296" applyNumberFormat="1" applyFont="1" applyFill="1" applyBorder="1" applyAlignment="1">
      <alignment horizontal="center" vertical="center"/>
    </xf>
    <xf numFmtId="164" fontId="159" fillId="79" borderId="28" xfId="296" applyNumberFormat="1" applyFont="1" applyFill="1" applyBorder="1" applyAlignment="1">
      <alignment horizontal="center" vertical="center"/>
    </xf>
    <xf numFmtId="166" fontId="159" fillId="0" borderId="28" xfId="296" applyNumberFormat="1" applyFont="1" applyFill="1" applyBorder="1" applyAlignment="1">
      <alignment horizontal="center" vertical="center"/>
    </xf>
    <xf numFmtId="2" fontId="159" fillId="80" borderId="22" xfId="296" applyNumberFormat="1" applyFont="1" applyFill="1" applyBorder="1" applyAlignment="1">
      <alignment horizontal="center" vertical="center"/>
    </xf>
    <xf numFmtId="1" fontId="159" fillId="87" borderId="28" xfId="296" applyNumberFormat="1" applyFont="1" applyFill="1" applyBorder="1" applyAlignment="1">
      <alignment horizontal="center" vertical="center"/>
    </xf>
    <xf numFmtId="2" fontId="159" fillId="84" borderId="19" xfId="296" applyNumberFormat="1" applyFont="1" applyFill="1" applyBorder="1" applyAlignment="1">
      <alignment horizontal="center" vertical="center"/>
    </xf>
    <xf numFmtId="2" fontId="159" fillId="84" borderId="0" xfId="296" applyNumberFormat="1" applyFont="1" applyFill="1" applyBorder="1" applyAlignment="1">
      <alignment horizontal="center" vertical="center"/>
    </xf>
    <xf numFmtId="1" fontId="159" fillId="0" borderId="0" xfId="296" applyNumberFormat="1" applyFont="1" applyFill="1" applyBorder="1" applyAlignment="1">
      <alignment horizontal="center" vertical="center"/>
    </xf>
    <xf numFmtId="2" fontId="159" fillId="0" borderId="21" xfId="296" applyNumberFormat="1" applyFont="1" applyFill="1" applyBorder="1" applyAlignment="1">
      <alignment horizontal="center" vertical="center"/>
    </xf>
    <xf numFmtId="1" fontId="159" fillId="0" borderId="28" xfId="296" applyNumberFormat="1" applyFont="1" applyFill="1" applyBorder="1" applyAlignment="1">
      <alignment horizontal="center" vertical="center"/>
    </xf>
    <xf numFmtId="2" fontId="159" fillId="80" borderId="28" xfId="296" applyNumberFormat="1" applyFont="1" applyFill="1" applyBorder="1" applyAlignment="1">
      <alignment horizontal="center" vertical="center"/>
    </xf>
    <xf numFmtId="2" fontId="159" fillId="77" borderId="23" xfId="296" applyNumberFormat="1" applyFont="1" applyFill="1" applyBorder="1" applyAlignment="1">
      <alignment horizontal="center" vertical="center"/>
    </xf>
    <xf numFmtId="166" fontId="160" fillId="84" borderId="19" xfId="0" applyNumberFormat="1" applyFont="1" applyFill="1" applyBorder="1" applyAlignment="1" applyProtection="1">
      <alignment horizontal="center" vertical="center"/>
      <protection locked="0"/>
    </xf>
    <xf numFmtId="166" fontId="160" fillId="84" borderId="0" xfId="0" applyNumberFormat="1" applyFont="1" applyFill="1" applyBorder="1" applyAlignment="1" applyProtection="1">
      <alignment horizontal="center" vertical="center"/>
      <protection locked="0"/>
    </xf>
    <xf numFmtId="1" fontId="160" fillId="84" borderId="0" xfId="0" applyNumberFormat="1" applyFont="1" applyFill="1" applyBorder="1" applyAlignment="1" applyProtection="1">
      <alignment horizontal="center" vertical="center"/>
      <protection locked="0"/>
    </xf>
    <xf numFmtId="1" fontId="160" fillId="84" borderId="23" xfId="0" applyNumberFormat="1" applyFont="1" applyFill="1" applyBorder="1" applyAlignment="1" applyProtection="1">
      <alignment horizontal="center" vertical="center"/>
      <protection locked="0"/>
    </xf>
    <xf numFmtId="166" fontId="160" fillId="60" borderId="19" xfId="0" applyNumberFormat="1" applyFont="1" applyFill="1" applyBorder="1" applyAlignment="1" applyProtection="1">
      <alignment horizontal="center" vertical="center"/>
      <protection locked="0"/>
    </xf>
    <xf numFmtId="166" fontId="160" fillId="60" borderId="0" xfId="0" applyNumberFormat="1" applyFont="1" applyFill="1" applyBorder="1" applyAlignment="1" applyProtection="1">
      <alignment horizontal="center" vertical="center"/>
      <protection locked="0"/>
    </xf>
    <xf numFmtId="1" fontId="160" fillId="60" borderId="23" xfId="0" applyNumberFormat="1" applyFont="1" applyFill="1" applyBorder="1" applyAlignment="1" applyProtection="1">
      <alignment horizontal="center" vertical="center"/>
      <protection locked="0"/>
    </xf>
    <xf numFmtId="17" fontId="159" fillId="64" borderId="19" xfId="296" quotePrefix="1" applyNumberFormat="1" applyFont="1" applyFill="1" applyBorder="1" applyAlignment="1">
      <alignment horizontal="center" vertical="center" wrapText="1"/>
    </xf>
    <xf numFmtId="0" fontId="160" fillId="84" borderId="19" xfId="0" applyFont="1" applyFill="1" applyBorder="1" applyAlignment="1" applyProtection="1">
      <alignment horizontal="center" vertical="center"/>
      <protection locked="0"/>
    </xf>
    <xf numFmtId="0" fontId="160" fillId="84" borderId="0" xfId="0" applyFont="1" applyFill="1" applyBorder="1" applyAlignment="1" applyProtection="1">
      <alignment horizontal="center" vertical="center"/>
      <protection locked="0"/>
    </xf>
    <xf numFmtId="0" fontId="160" fillId="60" borderId="19" xfId="0" applyFont="1" applyFill="1" applyBorder="1" applyAlignment="1" applyProtection="1">
      <alignment horizontal="center" vertical="center"/>
      <protection locked="0"/>
    </xf>
    <xf numFmtId="0" fontId="160" fillId="60" borderId="0" xfId="0" applyFont="1" applyFill="1" applyBorder="1" applyAlignment="1" applyProtection="1">
      <alignment horizontal="center" vertical="center"/>
      <protection locked="0"/>
    </xf>
    <xf numFmtId="0" fontId="159" fillId="72" borderId="96" xfId="296" applyFont="1" applyFill="1" applyBorder="1" applyAlignment="1">
      <alignment horizontal="center" vertical="center" wrapText="1"/>
    </xf>
    <xf numFmtId="0" fontId="160" fillId="84" borderId="24" xfId="0" applyFont="1" applyFill="1" applyBorder="1" applyAlignment="1" applyProtection="1">
      <alignment horizontal="center" vertical="center"/>
      <protection locked="0"/>
    </xf>
    <xf numFmtId="0" fontId="160" fillId="84" borderId="18" xfId="0" applyFont="1" applyFill="1" applyBorder="1" applyAlignment="1" applyProtection="1">
      <alignment horizontal="center" vertical="center"/>
      <protection locked="0"/>
    </xf>
    <xf numFmtId="1" fontId="160" fillId="84" borderId="18" xfId="0" applyNumberFormat="1" applyFont="1" applyFill="1" applyBorder="1" applyAlignment="1" applyProtection="1">
      <alignment horizontal="center" vertical="center"/>
      <protection locked="0"/>
    </xf>
    <xf numFmtId="1" fontId="160" fillId="84" borderId="25" xfId="0" applyNumberFormat="1" applyFont="1" applyFill="1" applyBorder="1" applyAlignment="1" applyProtection="1">
      <alignment horizontal="center" vertical="center"/>
      <protection locked="0"/>
    </xf>
    <xf numFmtId="0" fontId="160" fillId="60" borderId="24" xfId="0" applyFont="1" applyFill="1" applyBorder="1" applyAlignment="1" applyProtection="1">
      <alignment horizontal="center" vertical="center"/>
      <protection locked="0"/>
    </xf>
    <xf numFmtId="0" fontId="160" fillId="60" borderId="18" xfId="0" applyFont="1" applyFill="1" applyBorder="1" applyAlignment="1" applyProtection="1">
      <alignment horizontal="center" vertical="center"/>
      <protection locked="0"/>
    </xf>
    <xf numFmtId="1" fontId="160" fillId="60" borderId="25" xfId="0" applyNumberFormat="1" applyFont="1" applyFill="1" applyBorder="1" applyAlignment="1" applyProtection="1">
      <alignment horizontal="center" vertical="center"/>
      <protection locked="0"/>
    </xf>
    <xf numFmtId="0" fontId="159" fillId="72" borderId="71" xfId="296" applyFont="1" applyFill="1" applyBorder="1" applyAlignment="1">
      <alignment vertical="center" wrapText="1"/>
    </xf>
    <xf numFmtId="0" fontId="160" fillId="71" borderId="24" xfId="301" applyFont="1" applyFill="1" applyBorder="1" applyAlignment="1">
      <alignment horizontal="center"/>
    </xf>
    <xf numFmtId="0" fontId="159" fillId="71" borderId="25" xfId="296" applyFont="1" applyFill="1" applyBorder="1" applyAlignment="1">
      <alignment horizontal="left" vertical="center"/>
    </xf>
    <xf numFmtId="17" fontId="159" fillId="64" borderId="24" xfId="296" quotePrefix="1" applyNumberFormat="1" applyFont="1" applyFill="1" applyBorder="1" applyAlignment="1">
      <alignment horizontal="center" vertical="center" wrapText="1"/>
    </xf>
    <xf numFmtId="0" fontId="160" fillId="64" borderId="18" xfId="0" applyFont="1" applyFill="1" applyBorder="1" applyAlignment="1">
      <alignment horizontal="center" vertical="center"/>
    </xf>
    <xf numFmtId="0" fontId="159" fillId="64" borderId="25" xfId="629" applyFont="1" applyFill="1" applyBorder="1" applyAlignment="1">
      <alignment horizontal="center" vertical="center"/>
    </xf>
    <xf numFmtId="0" fontId="160" fillId="73" borderId="71" xfId="0" applyFont="1" applyFill="1" applyBorder="1" applyAlignment="1">
      <alignment horizontal="center" vertical="center"/>
    </xf>
    <xf numFmtId="0" fontId="159" fillId="0" borderId="18" xfId="296" applyFont="1" applyFill="1" applyBorder="1" applyAlignment="1">
      <alignment horizontal="center" vertical="center"/>
    </xf>
    <xf numFmtId="0" fontId="160" fillId="0" borderId="0" xfId="0" applyFont="1"/>
    <xf numFmtId="0" fontId="160" fillId="0" borderId="0" xfId="0" applyFont="1" applyAlignment="1">
      <alignment vertical="center" wrapText="1"/>
    </xf>
    <xf numFmtId="0" fontId="172" fillId="0" borderId="0" xfId="281" applyFont="1" applyAlignment="1">
      <alignment horizontal="center"/>
    </xf>
    <xf numFmtId="0" fontId="159" fillId="75" borderId="73" xfId="296" applyFont="1" applyFill="1" applyBorder="1" applyAlignment="1">
      <alignment horizontal="center" vertical="center"/>
    </xf>
    <xf numFmtId="0" fontId="163" fillId="74" borderId="74" xfId="296" applyFont="1" applyFill="1" applyBorder="1" applyAlignment="1">
      <alignment horizontal="center" vertical="center" wrapText="1"/>
    </xf>
    <xf numFmtId="0" fontId="163" fillId="74" borderId="26" xfId="296" applyFont="1" applyFill="1" applyBorder="1" applyAlignment="1">
      <alignment horizontal="center" vertical="center" wrapText="1"/>
    </xf>
    <xf numFmtId="0" fontId="163" fillId="83" borderId="26" xfId="296" applyFont="1" applyFill="1" applyBorder="1" applyAlignment="1">
      <alignment horizontal="center" vertical="center" wrapText="1"/>
    </xf>
    <xf numFmtId="0" fontId="163" fillId="75" borderId="74" xfId="296" applyFont="1" applyFill="1" applyBorder="1" applyAlignment="1">
      <alignment horizontal="center" vertical="center" wrapText="1"/>
    </xf>
    <xf numFmtId="0" fontId="163" fillId="75" borderId="26" xfId="296" applyFont="1" applyFill="1" applyBorder="1" applyAlignment="1">
      <alignment horizontal="center" vertical="center" wrapText="1"/>
    </xf>
    <xf numFmtId="0" fontId="163" fillId="69" borderId="74" xfId="296" applyFont="1" applyFill="1" applyBorder="1" applyAlignment="1">
      <alignment horizontal="center" vertical="center" wrapText="1"/>
    </xf>
    <xf numFmtId="0" fontId="162" fillId="69" borderId="26" xfId="296" applyFont="1" applyFill="1" applyBorder="1" applyAlignment="1">
      <alignment horizontal="center" vertical="center" wrapText="1"/>
    </xf>
    <xf numFmtId="0" fontId="163" fillId="63" borderId="74" xfId="296" applyFont="1" applyFill="1" applyBorder="1" applyAlignment="1">
      <alignment horizontal="center" vertical="center" wrapText="1"/>
    </xf>
    <xf numFmtId="0" fontId="163" fillId="63" borderId="26" xfId="296" applyFont="1" applyFill="1" applyBorder="1" applyAlignment="1">
      <alignment horizontal="center" vertical="center" wrapText="1"/>
    </xf>
    <xf numFmtId="0" fontId="163" fillId="99" borderId="74" xfId="296" applyFont="1" applyFill="1" applyBorder="1" applyAlignment="1">
      <alignment horizontal="center" vertical="center" wrapText="1"/>
    </xf>
    <xf numFmtId="0" fontId="163" fillId="99" borderId="26" xfId="296" applyFont="1" applyFill="1" applyBorder="1" applyAlignment="1">
      <alignment horizontal="center" vertical="center" wrapText="1"/>
    </xf>
    <xf numFmtId="0" fontId="172" fillId="102" borderId="11" xfId="0" applyFont="1" applyFill="1" applyBorder="1" applyAlignment="1">
      <alignment horizontal="center"/>
    </xf>
    <xf numFmtId="0" fontId="172" fillId="103" borderId="11" xfId="0" applyFont="1" applyFill="1" applyBorder="1" applyAlignment="1">
      <alignment horizontal="center"/>
    </xf>
    <xf numFmtId="0" fontId="160" fillId="103" borderId="11" xfId="305" applyFont="1" applyFill="1" applyBorder="1" applyAlignment="1">
      <alignment horizontal="center"/>
    </xf>
    <xf numFmtId="0" fontId="172" fillId="102" borderId="13" xfId="0" applyFont="1" applyFill="1" applyBorder="1" applyAlignment="1">
      <alignment horizontal="center"/>
    </xf>
    <xf numFmtId="0" fontId="172" fillId="102" borderId="0" xfId="0" applyFont="1" applyFill="1" applyBorder="1" applyAlignment="1">
      <alignment horizontal="center"/>
    </xf>
    <xf numFmtId="0" fontId="172" fillId="103" borderId="0" xfId="0" applyFont="1" applyFill="1" applyBorder="1" applyAlignment="1">
      <alignment horizontal="center"/>
    </xf>
    <xf numFmtId="0" fontId="160" fillId="103" borderId="0" xfId="305" applyFont="1" applyFill="1" applyBorder="1" applyAlignment="1">
      <alignment horizontal="center"/>
    </xf>
    <xf numFmtId="0" fontId="172" fillId="102" borderId="97" xfId="0" applyFont="1" applyFill="1" applyBorder="1" applyAlignment="1">
      <alignment horizontal="center"/>
    </xf>
    <xf numFmtId="0" fontId="172" fillId="102" borderId="18" xfId="0" applyFont="1" applyFill="1" applyBorder="1" applyAlignment="1">
      <alignment horizontal="center"/>
    </xf>
    <xf numFmtId="0" fontId="172" fillId="103" borderId="18" xfId="0" applyFont="1" applyFill="1" applyBorder="1" applyAlignment="1">
      <alignment horizontal="center"/>
    </xf>
    <xf numFmtId="0" fontId="160" fillId="103" borderId="18" xfId="305" applyFont="1" applyFill="1" applyBorder="1" applyAlignment="1">
      <alignment horizontal="center"/>
    </xf>
    <xf numFmtId="0" fontId="172" fillId="99" borderId="0" xfId="0" applyFont="1" applyFill="1" applyBorder="1" applyAlignment="1">
      <alignment horizontal="center"/>
    </xf>
    <xf numFmtId="0" fontId="160" fillId="99" borderId="0" xfId="305" applyFont="1" applyFill="1" applyBorder="1" applyAlignment="1">
      <alignment horizontal="center"/>
    </xf>
    <xf numFmtId="0" fontId="172" fillId="99" borderId="18" xfId="0" applyFont="1" applyFill="1" applyBorder="1" applyAlignment="1">
      <alignment horizontal="center"/>
    </xf>
    <xf numFmtId="0" fontId="160" fillId="99" borderId="18" xfId="305" applyFont="1" applyFill="1" applyBorder="1" applyAlignment="1">
      <alignment horizontal="center"/>
    </xf>
    <xf numFmtId="0" fontId="172" fillId="101" borderId="0" xfId="0" applyFont="1" applyFill="1" applyBorder="1" applyAlignment="1">
      <alignment horizontal="center"/>
    </xf>
    <xf numFmtId="0" fontId="160" fillId="101" borderId="0" xfId="305" applyFont="1" applyFill="1" applyBorder="1" applyAlignment="1">
      <alignment horizontal="center"/>
    </xf>
    <xf numFmtId="0" fontId="172" fillId="101" borderId="10" xfId="0" applyFont="1" applyFill="1" applyBorder="1" applyAlignment="1">
      <alignment horizontal="center"/>
    </xf>
    <xf numFmtId="0" fontId="172" fillId="101" borderId="13" xfId="0" applyFont="1" applyFill="1" applyBorder="1" applyAlignment="1">
      <alignment horizontal="center"/>
    </xf>
    <xf numFmtId="0" fontId="172" fillId="101" borderId="97" xfId="0" applyFont="1" applyFill="1" applyBorder="1" applyAlignment="1">
      <alignment horizontal="center"/>
    </xf>
    <xf numFmtId="0" fontId="172" fillId="101" borderId="15" xfId="0" applyFont="1" applyFill="1" applyBorder="1" applyAlignment="1">
      <alignment horizontal="center"/>
    </xf>
    <xf numFmtId="0" fontId="172" fillId="102" borderId="16" xfId="0" applyFont="1" applyFill="1" applyBorder="1" applyAlignment="1">
      <alignment horizontal="center"/>
    </xf>
    <xf numFmtId="0" fontId="172" fillId="101" borderId="16" xfId="0" applyFont="1" applyFill="1" applyBorder="1" applyAlignment="1">
      <alignment horizontal="center"/>
    </xf>
    <xf numFmtId="0" fontId="160" fillId="101" borderId="16" xfId="305" applyFont="1" applyFill="1" applyBorder="1" applyAlignment="1">
      <alignment horizontal="center"/>
    </xf>
    <xf numFmtId="0" fontId="172" fillId="102" borderId="98" xfId="0" applyFont="1" applyFill="1" applyBorder="1" applyAlignment="1">
      <alignment horizontal="center"/>
    </xf>
    <xf numFmtId="0" fontId="172" fillId="102" borderId="99" xfId="0" applyFont="1" applyFill="1" applyBorder="1" applyAlignment="1">
      <alignment horizontal="center"/>
    </xf>
    <xf numFmtId="0" fontId="172" fillId="99" borderId="99" xfId="0" applyFont="1" applyFill="1" applyBorder="1" applyAlignment="1">
      <alignment horizontal="center"/>
    </xf>
    <xf numFmtId="0" fontId="160" fillId="99" borderId="99" xfId="305" applyFont="1" applyFill="1" applyBorder="1" applyAlignment="1">
      <alignment horizontal="center"/>
    </xf>
    <xf numFmtId="0" fontId="172" fillId="101" borderId="99" xfId="0" applyFont="1" applyFill="1" applyBorder="1" applyAlignment="1">
      <alignment horizontal="center"/>
    </xf>
    <xf numFmtId="0" fontId="160" fillId="101" borderId="99" xfId="305" applyFont="1" applyFill="1" applyBorder="1" applyAlignment="1">
      <alignment horizontal="center"/>
    </xf>
    <xf numFmtId="0" fontId="172" fillId="102" borderId="15" xfId="0" applyFont="1" applyFill="1" applyBorder="1" applyAlignment="1">
      <alignment horizontal="center"/>
    </xf>
    <xf numFmtId="0" fontId="160" fillId="0" borderId="18" xfId="0" applyFont="1" applyFill="1" applyBorder="1" applyAlignment="1" applyProtection="1">
      <alignment horizontal="left" vertical="center"/>
      <protection locked="0"/>
    </xf>
    <xf numFmtId="0" fontId="162" fillId="74" borderId="97" xfId="305" applyFont="1" applyFill="1" applyBorder="1" applyAlignment="1">
      <alignment horizontal="center" vertical="center" wrapText="1"/>
    </xf>
    <xf numFmtId="0" fontId="162" fillId="74" borderId="27" xfId="305" applyFont="1" applyFill="1" applyBorder="1" applyAlignment="1">
      <alignment horizontal="center" vertical="center" wrapText="1"/>
    </xf>
    <xf numFmtId="0" fontId="162" fillId="100" borderId="97" xfId="305" applyFont="1" applyFill="1" applyBorder="1" applyAlignment="1">
      <alignment horizontal="center" vertical="center" wrapText="1"/>
    </xf>
    <xf numFmtId="0" fontId="162" fillId="100" borderId="18" xfId="0" applyFont="1" applyFill="1" applyBorder="1" applyAlignment="1" applyProtection="1">
      <alignment horizontal="center" vertical="center" wrapText="1"/>
      <protection locked="0"/>
    </xf>
    <xf numFmtId="0" fontId="162" fillId="100" borderId="27" xfId="0" applyFont="1" applyFill="1" applyBorder="1" applyAlignment="1" applyProtection="1">
      <alignment horizontal="center" vertical="center" wrapText="1"/>
      <protection locked="0"/>
    </xf>
    <xf numFmtId="0" fontId="181" fillId="90" borderId="0" xfId="0" applyFont="1" applyFill="1" applyAlignment="1">
      <alignment horizontal="left"/>
    </xf>
    <xf numFmtId="0" fontId="172" fillId="104" borderId="0" xfId="1208" applyFont="1" applyFill="1" applyAlignment="1">
      <alignment horizontal="center"/>
    </xf>
    <xf numFmtId="2" fontId="160" fillId="0" borderId="0" xfId="1158" applyNumberFormat="1" applyFont="1" applyFill="1" applyBorder="1" applyAlignment="1">
      <alignment horizontal="center"/>
    </xf>
    <xf numFmtId="2" fontId="172" fillId="104" borderId="0" xfId="1158" applyNumberFormat="1" applyFont="1" applyFill="1" applyAlignment="1">
      <alignment horizontal="center"/>
    </xf>
    <xf numFmtId="0" fontId="180" fillId="0" borderId="13" xfId="0" quotePrefix="1" applyNumberFormat="1" applyFont="1" applyFill="1" applyBorder="1" applyAlignment="1" applyProtection="1">
      <alignment horizontal="right"/>
      <protection locked="0"/>
    </xf>
    <xf numFmtId="0" fontId="172" fillId="104" borderId="18" xfId="1208" applyFont="1" applyFill="1" applyBorder="1" applyAlignment="1">
      <alignment horizontal="center"/>
    </xf>
    <xf numFmtId="2" fontId="179" fillId="0" borderId="16" xfId="1271" applyNumberFormat="1" applyFont="1" applyBorder="1" applyAlignment="1" applyProtection="1">
      <alignment horizontal="center"/>
      <protection locked="0"/>
    </xf>
    <xf numFmtId="2" fontId="160" fillId="0" borderId="16" xfId="301" applyNumberFormat="1" applyFont="1" applyBorder="1" applyAlignment="1">
      <alignment horizontal="center"/>
    </xf>
    <xf numFmtId="164" fontId="172" fillId="0" borderId="0" xfId="1158" applyNumberFormat="1" applyFont="1" applyBorder="1" applyAlignment="1">
      <alignment horizontal="center"/>
    </xf>
    <xf numFmtId="2" fontId="179" fillId="0" borderId="0" xfId="1271" applyNumberFormat="1" applyFont="1" applyAlignment="1" applyProtection="1">
      <alignment horizontal="center"/>
      <protection locked="0"/>
    </xf>
    <xf numFmtId="2" fontId="160" fillId="0" borderId="0" xfId="301" applyNumberFormat="1" applyFont="1" applyAlignment="1">
      <alignment horizontal="center"/>
    </xf>
    <xf numFmtId="0" fontId="180" fillId="0" borderId="13" xfId="0" applyFont="1" applyBorder="1" applyAlignment="1">
      <alignment horizontal="right"/>
    </xf>
    <xf numFmtId="2" fontId="160" fillId="0" borderId="18" xfId="1158" applyNumberFormat="1" applyFont="1" applyFill="1" applyBorder="1" applyAlignment="1">
      <alignment horizontal="center"/>
    </xf>
    <xf numFmtId="164" fontId="179" fillId="0" borderId="0" xfId="1271" applyNumberFormat="1" applyFont="1" applyBorder="1" applyAlignment="1" applyProtection="1">
      <alignment horizontal="center"/>
      <protection locked="0"/>
    </xf>
    <xf numFmtId="2" fontId="172" fillId="0" borderId="18" xfId="1158" applyNumberFormat="1" applyFont="1" applyFill="1" applyBorder="1" applyAlignment="1">
      <alignment horizontal="center"/>
    </xf>
    <xf numFmtId="0" fontId="172" fillId="79" borderId="0" xfId="1208" applyFont="1" applyFill="1" applyAlignment="1">
      <alignment horizontal="center"/>
    </xf>
    <xf numFmtId="164" fontId="160" fillId="0" borderId="0" xfId="301" applyNumberFormat="1" applyFont="1" applyBorder="1" applyAlignment="1">
      <alignment horizontal="center"/>
    </xf>
    <xf numFmtId="0" fontId="172" fillId="104" borderId="16" xfId="1208" applyFont="1" applyFill="1" applyBorder="1" applyAlignment="1">
      <alignment horizontal="center"/>
    </xf>
    <xf numFmtId="2" fontId="160" fillId="0" borderId="16" xfId="1158" applyNumberFormat="1" applyFont="1" applyFill="1" applyBorder="1" applyAlignment="1">
      <alignment horizontal="center" vertical="center"/>
    </xf>
    <xf numFmtId="2" fontId="179" fillId="104" borderId="0" xfId="1271" applyNumberFormat="1" applyFont="1" applyFill="1" applyAlignment="1" applyProtection="1">
      <alignment horizontal="center"/>
      <protection locked="0"/>
    </xf>
    <xf numFmtId="2" fontId="160" fillId="0" borderId="0" xfId="1158" applyNumberFormat="1" applyFont="1" applyFill="1" applyBorder="1" applyAlignment="1">
      <alignment horizontal="center" vertical="center"/>
    </xf>
    <xf numFmtId="0" fontId="172" fillId="107" borderId="18" xfId="1208" applyFont="1" applyFill="1" applyBorder="1" applyAlignment="1">
      <alignment horizontal="center"/>
    </xf>
    <xf numFmtId="164" fontId="179" fillId="0" borderId="16" xfId="1271" applyNumberFormat="1" applyFont="1" applyBorder="1" applyAlignment="1" applyProtection="1">
      <alignment horizontal="center"/>
      <protection locked="0"/>
    </xf>
    <xf numFmtId="164" fontId="160" fillId="0" borderId="16" xfId="301" applyNumberFormat="1" applyFont="1" applyBorder="1" applyAlignment="1">
      <alignment horizontal="center"/>
    </xf>
    <xf numFmtId="2" fontId="160" fillId="0" borderId="0" xfId="301" applyNumberFormat="1" applyFont="1" applyBorder="1" applyAlignment="1">
      <alignment horizontal="center"/>
    </xf>
    <xf numFmtId="164" fontId="179" fillId="0" borderId="0" xfId="1271" applyNumberFormat="1" applyFont="1" applyAlignment="1" applyProtection="1">
      <alignment horizontal="center"/>
      <protection locked="0"/>
    </xf>
    <xf numFmtId="164" fontId="160" fillId="0" borderId="0" xfId="301" applyNumberFormat="1" applyFont="1" applyAlignment="1">
      <alignment horizontal="center"/>
    </xf>
    <xf numFmtId="0" fontId="180" fillId="0" borderId="0" xfId="0" quotePrefix="1" applyNumberFormat="1" applyFont="1" applyFill="1" applyBorder="1" applyAlignment="1" applyProtection="1">
      <alignment horizontal="center"/>
      <protection locked="0"/>
    </xf>
    <xf numFmtId="0" fontId="172" fillId="104" borderId="0" xfId="1208" applyFont="1" applyFill="1" applyBorder="1" applyAlignment="1">
      <alignment horizontal="center"/>
    </xf>
    <xf numFmtId="164" fontId="172" fillId="0" borderId="16" xfId="1158" applyNumberFormat="1" applyFont="1" applyBorder="1" applyAlignment="1">
      <alignment horizontal="center"/>
    </xf>
    <xf numFmtId="2" fontId="172" fillId="0" borderId="0" xfId="1158" applyNumberFormat="1" applyFont="1" applyAlignment="1">
      <alignment horizontal="center"/>
    </xf>
    <xf numFmtId="164" fontId="172" fillId="0" borderId="0" xfId="1158" applyNumberFormat="1" applyFont="1" applyAlignment="1">
      <alignment horizontal="center"/>
    </xf>
    <xf numFmtId="2" fontId="160" fillId="0" borderId="16" xfId="1158" applyNumberFormat="1" applyFont="1" applyFill="1" applyBorder="1" applyAlignment="1">
      <alignment horizontal="center"/>
    </xf>
    <xf numFmtId="0" fontId="172" fillId="79" borderId="0" xfId="1208" applyFont="1" applyFill="1" applyBorder="1" applyAlignment="1">
      <alignment horizontal="center"/>
    </xf>
    <xf numFmtId="164" fontId="160" fillId="0" borderId="18" xfId="301" applyNumberFormat="1" applyFont="1" applyBorder="1" applyAlignment="1">
      <alignment horizontal="center"/>
    </xf>
    <xf numFmtId="0" fontId="180" fillId="0" borderId="0" xfId="0" applyFont="1" applyBorder="1" applyAlignment="1">
      <alignment horizontal="center"/>
    </xf>
    <xf numFmtId="2" fontId="172" fillId="0" borderId="18" xfId="1158" applyNumberFormat="1" applyFont="1" applyBorder="1" applyAlignment="1">
      <alignment horizontal="center"/>
    </xf>
    <xf numFmtId="2" fontId="160" fillId="0" borderId="18" xfId="1158" applyNumberFormat="1" applyFont="1" applyFill="1" applyBorder="1" applyAlignment="1">
      <alignment horizontal="center" vertical="center"/>
    </xf>
    <xf numFmtId="0" fontId="172" fillId="107" borderId="0" xfId="1208" applyFont="1" applyFill="1" applyAlignment="1">
      <alignment horizontal="center"/>
    </xf>
    <xf numFmtId="2" fontId="172" fillId="0" borderId="0" xfId="1158" applyNumberFormat="1" applyFont="1" applyBorder="1" applyAlignment="1">
      <alignment horizontal="center"/>
    </xf>
    <xf numFmtId="2" fontId="172" fillId="0" borderId="16" xfId="1158" applyNumberFormat="1" applyFont="1" applyFill="1" applyBorder="1" applyAlignment="1">
      <alignment horizontal="center"/>
    </xf>
    <xf numFmtId="164" fontId="179" fillId="0" borderId="18" xfId="1271" applyNumberFormat="1" applyFont="1" applyBorder="1" applyAlignment="1" applyProtection="1">
      <alignment horizontal="center"/>
      <protection locked="0"/>
    </xf>
    <xf numFmtId="2" fontId="172" fillId="0" borderId="0" xfId="1158" applyNumberFormat="1" applyFont="1" applyFill="1" applyBorder="1" applyAlignment="1">
      <alignment horizontal="center"/>
    </xf>
    <xf numFmtId="2" fontId="160" fillId="0" borderId="18" xfId="301" applyNumberFormat="1" applyFont="1" applyBorder="1" applyAlignment="1">
      <alignment horizontal="center"/>
    </xf>
    <xf numFmtId="0" fontId="172" fillId="107" borderId="16" xfId="1208" applyFont="1" applyFill="1" applyBorder="1" applyAlignment="1">
      <alignment horizontal="center"/>
    </xf>
    <xf numFmtId="2" fontId="179" fillId="0" borderId="18" xfId="1271" applyNumberFormat="1" applyFont="1" applyBorder="1" applyAlignment="1" applyProtection="1">
      <alignment horizontal="center"/>
      <protection locked="0"/>
    </xf>
    <xf numFmtId="164" fontId="172" fillId="0" borderId="18" xfId="1158" applyNumberFormat="1" applyFont="1" applyBorder="1" applyAlignment="1">
      <alignment horizontal="center"/>
    </xf>
    <xf numFmtId="2" fontId="179" fillId="0" borderId="0" xfId="1271" applyNumberFormat="1" applyFont="1" applyBorder="1" applyAlignment="1" applyProtection="1">
      <alignment horizontal="center"/>
      <protection locked="0"/>
    </xf>
    <xf numFmtId="0" fontId="172" fillId="107" borderId="0" xfId="1208" applyFont="1" applyFill="1" applyBorder="1" applyAlignment="1">
      <alignment horizontal="center"/>
    </xf>
    <xf numFmtId="2" fontId="172" fillId="0" borderId="16" xfId="1158" applyNumberFormat="1" applyFont="1" applyBorder="1" applyAlignment="1">
      <alignment horizontal="center"/>
    </xf>
    <xf numFmtId="2" fontId="159" fillId="74" borderId="23" xfId="296" applyNumberFormat="1" applyFont="1" applyFill="1" applyBorder="1" applyAlignment="1">
      <alignment horizontal="center" vertical="center"/>
    </xf>
    <xf numFmtId="164" fontId="180" fillId="64" borderId="14" xfId="0" applyNumberFormat="1" applyFont="1" applyFill="1" applyBorder="1" applyAlignment="1">
      <alignment horizontal="right"/>
    </xf>
    <xf numFmtId="169" fontId="181" fillId="0" borderId="0" xfId="0" applyNumberFormat="1" applyFont="1" applyAlignment="1">
      <alignment horizontal="center"/>
    </xf>
    <xf numFmtId="164" fontId="180" fillId="0" borderId="0" xfId="0" quotePrefix="1" applyNumberFormat="1" applyFont="1" applyFill="1" applyBorder="1" applyAlignment="1" applyProtection="1">
      <alignment horizontal="right"/>
      <protection locked="0"/>
    </xf>
    <xf numFmtId="0" fontId="181" fillId="0" borderId="0" xfId="0" applyFont="1"/>
    <xf numFmtId="2" fontId="180" fillId="0" borderId="13" xfId="0" quotePrefix="1" applyNumberFormat="1" applyFont="1" applyFill="1" applyBorder="1" applyAlignment="1" applyProtection="1">
      <alignment horizontal="right"/>
      <protection locked="0"/>
    </xf>
    <xf numFmtId="0" fontId="180" fillId="64" borderId="14" xfId="0" quotePrefix="1" applyNumberFormat="1" applyFont="1" applyFill="1" applyBorder="1" applyAlignment="1" applyProtection="1">
      <alignment horizontal="right"/>
      <protection locked="0"/>
    </xf>
    <xf numFmtId="0" fontId="180" fillId="0" borderId="0" xfId="0" quotePrefix="1" applyNumberFormat="1" applyFont="1" applyFill="1" applyBorder="1" applyProtection="1">
      <protection locked="0"/>
    </xf>
    <xf numFmtId="0" fontId="180" fillId="0" borderId="0" xfId="0" applyFont="1"/>
    <xf numFmtId="0" fontId="172" fillId="79" borderId="18" xfId="1208" applyFont="1" applyFill="1" applyBorder="1" applyAlignment="1">
      <alignment horizontal="center"/>
    </xf>
    <xf numFmtId="2" fontId="159" fillId="88" borderId="23" xfId="296" applyNumberFormat="1" applyFont="1" applyFill="1" applyBorder="1" applyAlignment="1">
      <alignment horizontal="center" vertical="center"/>
    </xf>
    <xf numFmtId="0" fontId="0" fillId="90" borderId="0" xfId="0" applyFill="1" applyProtection="1"/>
    <xf numFmtId="0" fontId="108" fillId="32" borderId="10" xfId="0" applyFont="1" applyFill="1" applyBorder="1" applyAlignment="1">
      <alignment horizontal="center"/>
    </xf>
    <xf numFmtId="0" fontId="108" fillId="32" borderId="11" xfId="0" applyFont="1" applyFill="1" applyBorder="1" applyAlignment="1">
      <alignment horizontal="center"/>
    </xf>
    <xf numFmtId="0" fontId="121" fillId="26" borderId="59" xfId="0" applyFont="1" applyFill="1" applyBorder="1" applyAlignment="1">
      <alignment horizontal="center"/>
    </xf>
    <xf numFmtId="0" fontId="121" fillId="26" borderId="60" xfId="0" applyFont="1" applyFill="1" applyBorder="1" applyAlignment="1">
      <alignment horizontal="center"/>
    </xf>
    <xf numFmtId="0" fontId="121" fillId="26" borderId="61" xfId="0" applyFont="1" applyFill="1" applyBorder="1" applyAlignment="1">
      <alignment horizontal="center"/>
    </xf>
    <xf numFmtId="0" fontId="108" fillId="31" borderId="11" xfId="0" applyFont="1" applyFill="1" applyBorder="1" applyAlignment="1">
      <alignment horizontal="center"/>
    </xf>
    <xf numFmtId="0" fontId="108" fillId="31" borderId="12" xfId="0" applyFont="1" applyFill="1" applyBorder="1" applyAlignment="1">
      <alignment horizontal="center"/>
    </xf>
    <xf numFmtId="0" fontId="108" fillId="28" borderId="10" xfId="0" applyFont="1" applyFill="1" applyBorder="1" applyAlignment="1">
      <alignment horizontal="center"/>
    </xf>
    <xf numFmtId="0" fontId="108" fillId="28" borderId="12" xfId="0" applyFont="1" applyFill="1" applyBorder="1" applyAlignment="1">
      <alignment horizontal="center"/>
    </xf>
    <xf numFmtId="0" fontId="118" fillId="34" borderId="0" xfId="0" applyFont="1" applyFill="1" applyAlignment="1">
      <alignment horizontal="center"/>
    </xf>
    <xf numFmtId="0" fontId="108" fillId="0" borderId="10" xfId="0" applyFont="1" applyBorder="1" applyAlignment="1">
      <alignment horizontal="center"/>
    </xf>
    <xf numFmtId="0" fontId="108" fillId="0" borderId="11" xfId="0" applyFont="1" applyBorder="1" applyAlignment="1">
      <alignment horizontal="center"/>
    </xf>
    <xf numFmtId="0" fontId="108" fillId="0" borderId="12" xfId="0" applyFont="1" applyBorder="1" applyAlignment="1">
      <alignment horizontal="center"/>
    </xf>
    <xf numFmtId="0" fontId="108" fillId="0" borderId="44" xfId="0" applyFont="1" applyBorder="1" applyAlignment="1">
      <alignment horizontal="center"/>
    </xf>
    <xf numFmtId="0" fontId="108" fillId="0" borderId="45" xfId="0" applyFont="1" applyBorder="1" applyAlignment="1">
      <alignment horizontal="center"/>
    </xf>
    <xf numFmtId="0" fontId="108" fillId="0" borderId="16" xfId="0" applyFont="1" applyBorder="1" applyAlignment="1">
      <alignment horizontal="left"/>
    </xf>
    <xf numFmtId="0" fontId="0" fillId="0" borderId="50" xfId="0" applyBorder="1" applyAlignment="1">
      <alignment horizontal="center" wrapText="1"/>
    </xf>
    <xf numFmtId="0" fontId="160" fillId="81" borderId="74" xfId="0" applyFont="1" applyFill="1" applyBorder="1" applyAlignment="1" applyProtection="1">
      <alignment horizontal="center" vertical="center"/>
      <protection locked="0"/>
    </xf>
    <xf numFmtId="0" fontId="160" fillId="81" borderId="75" xfId="0" applyFont="1" applyFill="1" applyBorder="1" applyAlignment="1" applyProtection="1">
      <alignment horizontal="center" vertical="center"/>
      <protection locked="0"/>
    </xf>
    <xf numFmtId="0" fontId="171" fillId="70" borderId="72" xfId="296" applyFont="1" applyFill="1" applyBorder="1" applyAlignment="1">
      <alignment horizontal="center" vertical="center" wrapText="1"/>
    </xf>
    <xf numFmtId="0" fontId="171" fillId="70" borderId="100" xfId="296" applyFont="1" applyFill="1" applyBorder="1" applyAlignment="1">
      <alignment horizontal="center" vertical="center" wrapText="1"/>
    </xf>
    <xf numFmtId="0" fontId="159" fillId="99" borderId="74" xfId="296" applyFont="1" applyFill="1" applyBorder="1" applyAlignment="1">
      <alignment horizontal="left" vertical="center"/>
    </xf>
    <xf numFmtId="0" fontId="159" fillId="99" borderId="26" xfId="296" applyFont="1" applyFill="1" applyBorder="1" applyAlignment="1">
      <alignment horizontal="left" vertical="center"/>
    </xf>
    <xf numFmtId="0" fontId="159" fillId="99" borderId="75" xfId="296" applyFont="1" applyFill="1" applyBorder="1" applyAlignment="1">
      <alignment horizontal="left" vertical="center"/>
    </xf>
    <xf numFmtId="0" fontId="160" fillId="76" borderId="28" xfId="296" applyFont="1" applyFill="1" applyBorder="1" applyAlignment="1">
      <alignment horizontal="center" vertical="center" wrapText="1"/>
    </xf>
    <xf numFmtId="0" fontId="160" fillId="76" borderId="18" xfId="296" applyFont="1" applyFill="1" applyBorder="1" applyAlignment="1">
      <alignment horizontal="center" vertical="center" wrapText="1"/>
    </xf>
    <xf numFmtId="0" fontId="159" fillId="83" borderId="21" xfId="296" applyFont="1" applyFill="1" applyBorder="1" applyAlignment="1">
      <alignment horizontal="center" vertical="center" textRotation="90" wrapText="1"/>
    </xf>
    <xf numFmtId="0" fontId="159" fillId="83" borderId="19" xfId="296" applyFont="1" applyFill="1" applyBorder="1" applyAlignment="1">
      <alignment horizontal="center" vertical="center" textRotation="90" wrapText="1"/>
    </xf>
    <xf numFmtId="0" fontId="159" fillId="83" borderId="24" xfId="296" applyFont="1" applyFill="1" applyBorder="1" applyAlignment="1">
      <alignment horizontal="center" vertical="center" textRotation="90" wrapText="1"/>
    </xf>
    <xf numFmtId="0" fontId="160" fillId="0" borderId="80" xfId="0" applyFont="1" applyBorder="1" applyAlignment="1" applyProtection="1">
      <alignment horizontal="center" vertical="center" wrapText="1"/>
      <protection locked="0"/>
    </xf>
    <xf numFmtId="0" fontId="160" fillId="0" borderId="84" xfId="0" applyFont="1" applyBorder="1" applyAlignment="1" applyProtection="1">
      <alignment horizontal="center" vertical="center" wrapText="1"/>
      <protection locked="0"/>
    </xf>
    <xf numFmtId="0" fontId="160" fillId="0" borderId="92" xfId="0" applyFont="1" applyBorder="1" applyAlignment="1" applyProtection="1">
      <alignment horizontal="center" vertical="center" wrapText="1"/>
      <protection locked="0"/>
    </xf>
    <xf numFmtId="0" fontId="160" fillId="0" borderId="18" xfId="0" applyFont="1" applyBorder="1" applyAlignment="1" applyProtection="1">
      <alignment horizontal="center" vertical="center" wrapText="1"/>
      <protection locked="0"/>
    </xf>
    <xf numFmtId="0" fontId="160" fillId="67" borderId="95" xfId="0" applyFont="1" applyFill="1" applyBorder="1" applyAlignment="1">
      <alignment horizontal="center" vertical="center" wrapText="1"/>
    </xf>
    <xf numFmtId="0" fontId="160" fillId="67" borderId="90" xfId="0" applyFont="1" applyFill="1" applyBorder="1" applyAlignment="1">
      <alignment horizontal="center" vertical="center" wrapText="1"/>
    </xf>
    <xf numFmtId="0" fontId="160" fillId="67" borderId="91" xfId="0" applyFont="1" applyFill="1" applyBorder="1" applyAlignment="1">
      <alignment horizontal="center" vertical="center" wrapText="1"/>
    </xf>
    <xf numFmtId="0" fontId="159" fillId="74" borderId="21" xfId="296" applyFont="1" applyFill="1" applyBorder="1" applyAlignment="1">
      <alignment horizontal="center" vertical="center"/>
    </xf>
    <xf numFmtId="0" fontId="159" fillId="74" borderId="22" xfId="296" applyFont="1" applyFill="1" applyBorder="1" applyAlignment="1">
      <alignment horizontal="center" vertical="center"/>
    </xf>
    <xf numFmtId="0" fontId="159" fillId="0" borderId="0" xfId="296" applyFont="1" applyFill="1" applyBorder="1" applyAlignment="1">
      <alignment horizontal="center" vertical="center" wrapText="1"/>
    </xf>
    <xf numFmtId="0" fontId="159" fillId="0" borderId="18" xfId="296" applyFont="1" applyFill="1" applyBorder="1" applyAlignment="1">
      <alignment horizontal="center" vertical="center" wrapText="1"/>
    </xf>
    <xf numFmtId="0" fontId="160" fillId="89" borderId="80" xfId="0" applyFont="1" applyFill="1" applyBorder="1" applyAlignment="1" applyProtection="1">
      <alignment horizontal="center" vertical="center" wrapText="1"/>
    </xf>
    <xf numFmtId="0" fontId="160" fillId="89" borderId="81" xfId="0" applyFont="1" applyFill="1" applyBorder="1" applyAlignment="1" applyProtection="1">
      <alignment horizontal="center" vertical="center" wrapText="1"/>
    </xf>
    <xf numFmtId="0" fontId="160" fillId="89" borderId="82" xfId="0" applyFont="1" applyFill="1" applyBorder="1" applyAlignment="1" applyProtection="1">
      <alignment horizontal="center" vertical="center" wrapText="1"/>
    </xf>
    <xf numFmtId="0" fontId="160" fillId="89" borderId="83" xfId="0" applyFont="1" applyFill="1" applyBorder="1" applyAlignment="1" applyProtection="1">
      <alignment horizontal="center" vertical="center" wrapText="1"/>
    </xf>
    <xf numFmtId="0" fontId="160" fillId="89" borderId="78" xfId="0" applyFont="1" applyFill="1" applyBorder="1" applyAlignment="1" applyProtection="1">
      <alignment horizontal="center" vertical="center" wrapText="1"/>
    </xf>
    <xf numFmtId="0" fontId="160" fillId="89" borderId="86" xfId="0" applyFont="1" applyFill="1" applyBorder="1" applyAlignment="1" applyProtection="1">
      <alignment horizontal="center" vertical="center" wrapText="1"/>
    </xf>
    <xf numFmtId="0" fontId="159" fillId="90" borderId="21" xfId="296" applyFont="1" applyFill="1" applyBorder="1" applyAlignment="1">
      <alignment horizontal="center" vertical="center" wrapText="1"/>
    </xf>
    <xf numFmtId="0" fontId="159" fillId="90" borderId="28" xfId="296" applyFont="1" applyFill="1" applyBorder="1" applyAlignment="1">
      <alignment horizontal="center" vertical="center" wrapText="1"/>
    </xf>
    <xf numFmtId="0" fontId="159" fillId="90" borderId="22" xfId="296" applyFont="1" applyFill="1" applyBorder="1" applyAlignment="1">
      <alignment horizontal="center" vertical="center" wrapText="1"/>
    </xf>
    <xf numFmtId="0" fontId="159" fillId="90" borderId="24" xfId="296" applyFont="1" applyFill="1" applyBorder="1" applyAlignment="1">
      <alignment horizontal="center" vertical="center" wrapText="1"/>
    </xf>
    <xf numFmtId="0" fontId="159" fillId="90" borderId="18" xfId="296" applyFont="1" applyFill="1" applyBorder="1" applyAlignment="1">
      <alignment horizontal="center" vertical="center" wrapText="1"/>
    </xf>
    <xf numFmtId="0" fontId="159" fillId="90" borderId="25" xfId="296" applyFont="1" applyFill="1" applyBorder="1" applyAlignment="1">
      <alignment horizontal="center" vertical="center" wrapText="1"/>
    </xf>
    <xf numFmtId="0" fontId="160" fillId="72" borderId="72" xfId="0" applyFont="1" applyFill="1" applyBorder="1" applyAlignment="1" applyProtection="1">
      <alignment horizontal="center" vertical="center" wrapText="1"/>
      <protection locked="0"/>
    </xf>
    <xf numFmtId="0" fontId="160" fillId="72" borderId="73" xfId="0" applyFont="1" applyFill="1" applyBorder="1" applyAlignment="1" applyProtection="1">
      <alignment horizontal="center" vertical="center" wrapText="1"/>
      <protection locked="0"/>
    </xf>
    <xf numFmtId="0" fontId="160" fillId="72" borderId="71" xfId="0" applyFont="1" applyFill="1" applyBorder="1" applyAlignment="1" applyProtection="1">
      <alignment horizontal="center" vertical="center" wrapText="1"/>
      <protection locked="0"/>
    </xf>
    <xf numFmtId="0" fontId="163" fillId="0" borderId="0" xfId="296" applyFont="1" applyFill="1" applyBorder="1" applyAlignment="1">
      <alignment horizontal="center" wrapText="1"/>
    </xf>
    <xf numFmtId="0" fontId="163" fillId="0" borderId="18" xfId="296" applyFont="1" applyFill="1" applyBorder="1" applyAlignment="1">
      <alignment horizontal="center" wrapText="1"/>
    </xf>
    <xf numFmtId="0" fontId="159" fillId="86" borderId="22" xfId="296" applyFont="1" applyFill="1" applyBorder="1" applyAlignment="1">
      <alignment horizontal="center" vertical="center" textRotation="90" wrapText="1"/>
    </xf>
    <xf numFmtId="0" fontId="159" fillId="86" borderId="23" xfId="296" applyFont="1" applyFill="1" applyBorder="1" applyAlignment="1">
      <alignment horizontal="center" vertical="center" textRotation="90" wrapText="1"/>
    </xf>
    <xf numFmtId="0" fontId="159" fillId="86" borderId="25" xfId="296" applyFont="1" applyFill="1" applyBorder="1" applyAlignment="1">
      <alignment horizontal="center" vertical="center" textRotation="90" wrapText="1"/>
    </xf>
    <xf numFmtId="0" fontId="159" fillId="77" borderId="72" xfId="296" applyFont="1" applyFill="1" applyBorder="1" applyAlignment="1">
      <alignment horizontal="center" vertical="center" wrapText="1"/>
    </xf>
    <xf numFmtId="0" fontId="159" fillId="77" borderId="73" xfId="296" applyFont="1" applyFill="1" applyBorder="1" applyAlignment="1">
      <alignment horizontal="center" vertical="center" wrapText="1"/>
    </xf>
    <xf numFmtId="0" fontId="159" fillId="77" borderId="71" xfId="296" applyFont="1" applyFill="1" applyBorder="1" applyAlignment="1">
      <alignment horizontal="center" vertical="center" wrapText="1"/>
    </xf>
    <xf numFmtId="0" fontId="159" fillId="84" borderId="72" xfId="296" applyFont="1" applyFill="1" applyBorder="1" applyAlignment="1">
      <alignment horizontal="center" vertical="center" textRotation="90" wrapText="1"/>
    </xf>
    <xf numFmtId="0" fontId="159" fillId="84" borderId="73" xfId="296" applyFont="1" applyFill="1" applyBorder="1" applyAlignment="1">
      <alignment horizontal="center" vertical="center" textRotation="90" wrapText="1"/>
    </xf>
    <xf numFmtId="0" fontId="159" fillId="84" borderId="71" xfId="296" applyFont="1" applyFill="1" applyBorder="1" applyAlignment="1">
      <alignment horizontal="center" vertical="center" textRotation="90" wrapText="1"/>
    </xf>
    <xf numFmtId="0" fontId="159" fillId="81" borderId="21" xfId="296" applyFont="1" applyFill="1" applyBorder="1" applyAlignment="1">
      <alignment horizontal="center" vertical="center" wrapText="1"/>
    </xf>
    <xf numFmtId="0" fontId="159" fillId="81" borderId="22" xfId="296" applyFont="1" applyFill="1" applyBorder="1" applyAlignment="1">
      <alignment horizontal="center" vertical="center" wrapText="1"/>
    </xf>
    <xf numFmtId="0" fontId="159" fillId="81" borderId="19" xfId="296" applyFont="1" applyFill="1" applyBorder="1" applyAlignment="1">
      <alignment horizontal="center" vertical="center" wrapText="1"/>
    </xf>
    <xf numFmtId="0" fontId="159" fillId="81" borderId="23" xfId="296" applyFont="1" applyFill="1" applyBorder="1" applyAlignment="1">
      <alignment horizontal="center" vertical="center" wrapText="1"/>
    </xf>
    <xf numFmtId="0" fontId="159" fillId="81" borderId="24" xfId="296" applyFont="1" applyFill="1" applyBorder="1" applyAlignment="1">
      <alignment horizontal="center" vertical="center" wrapText="1"/>
    </xf>
    <xf numFmtId="0" fontId="159" fillId="81" borderId="25" xfId="296" applyFont="1" applyFill="1" applyBorder="1" applyAlignment="1">
      <alignment horizontal="center" vertical="center" wrapText="1"/>
    </xf>
    <xf numFmtId="0" fontId="159" fillId="0" borderId="0" xfId="296" quotePrefix="1" applyFont="1" applyFill="1" applyBorder="1" applyAlignment="1">
      <alignment horizontal="center" vertical="center"/>
    </xf>
    <xf numFmtId="0" fontId="159" fillId="0" borderId="0" xfId="296" applyFont="1" applyFill="1" applyBorder="1" applyAlignment="1">
      <alignment horizontal="center" vertical="center"/>
    </xf>
    <xf numFmtId="0" fontId="159" fillId="0" borderId="76" xfId="296" applyFont="1" applyFill="1" applyBorder="1" applyAlignment="1">
      <alignment horizontal="center" vertical="center" wrapText="1"/>
    </xf>
    <xf numFmtId="0" fontId="159" fillId="0" borderId="77" xfId="296" applyFont="1" applyFill="1" applyBorder="1" applyAlignment="1">
      <alignment horizontal="center" vertical="center" wrapText="1"/>
    </xf>
    <xf numFmtId="0" fontId="159" fillId="0" borderId="78" xfId="296" applyFont="1" applyFill="1" applyBorder="1" applyAlignment="1">
      <alignment horizontal="center" vertical="center" wrapText="1"/>
    </xf>
    <xf numFmtId="0" fontId="159" fillId="0" borderId="79" xfId="296" applyFont="1" applyFill="1" applyBorder="1" applyAlignment="1">
      <alignment horizontal="center" vertical="center" wrapText="1"/>
    </xf>
    <xf numFmtId="0" fontId="163" fillId="66" borderId="80" xfId="296" applyFont="1" applyFill="1" applyBorder="1" applyAlignment="1">
      <alignment horizontal="center" vertical="center" wrapText="1"/>
    </xf>
    <xf numFmtId="0" fontId="163" fillId="66" borderId="81" xfId="296" applyFont="1" applyFill="1" applyBorder="1" applyAlignment="1">
      <alignment horizontal="center" vertical="center" wrapText="1"/>
    </xf>
    <xf numFmtId="0" fontId="163" fillId="66" borderId="82" xfId="296" applyFont="1" applyFill="1" applyBorder="1" applyAlignment="1">
      <alignment horizontal="center" vertical="center" wrapText="1"/>
    </xf>
    <xf numFmtId="0" fontId="163" fillId="66" borderId="83" xfId="296" applyFont="1" applyFill="1" applyBorder="1" applyAlignment="1">
      <alignment horizontal="center" vertical="center" wrapText="1"/>
    </xf>
    <xf numFmtId="0" fontId="159" fillId="0" borderId="18" xfId="296" quotePrefix="1" applyFont="1" applyFill="1" applyBorder="1" applyAlignment="1">
      <alignment horizontal="center" vertical="center"/>
    </xf>
    <xf numFmtId="0" fontId="159" fillId="0" borderId="18" xfId="296" applyFont="1" applyFill="1" applyBorder="1" applyAlignment="1">
      <alignment horizontal="center" vertical="center"/>
    </xf>
    <xf numFmtId="0" fontId="114" fillId="0" borderId="43" xfId="0" applyFont="1" applyBorder="1" applyAlignment="1">
      <alignment horizontal="center"/>
    </xf>
    <xf numFmtId="0" fontId="114" fillId="0" borderId="44" xfId="0" applyFont="1" applyBorder="1" applyAlignment="1">
      <alignment horizontal="center"/>
    </xf>
    <xf numFmtId="0" fontId="114" fillId="0" borderId="45" xfId="0" applyFont="1" applyBorder="1" applyAlignment="1">
      <alignment horizontal="center"/>
    </xf>
    <xf numFmtId="0" fontId="50" fillId="0" borderId="0" xfId="0" applyFont="1" applyAlignment="1">
      <alignment horizontal="center" wrapText="1"/>
    </xf>
    <xf numFmtId="0" fontId="0" fillId="26" borderId="0" xfId="0" applyFill="1" applyAlignment="1" applyProtection="1">
      <alignment horizontal="center" wrapText="1"/>
      <protection locked="0"/>
    </xf>
    <xf numFmtId="0" fontId="34" fillId="0" borderId="0" xfId="628" applyFont="1" applyAlignment="1" applyProtection="1">
      <alignment horizontal="center" wrapText="1"/>
    </xf>
  </cellXfs>
  <cellStyles count="3025">
    <cellStyle name="20% - Accent1 2" xfId="1"/>
    <cellStyle name="20% - Accent1 2 10" xfId="1160"/>
    <cellStyle name="20% - Accent1 2 2" xfId="2"/>
    <cellStyle name="20% - Accent1 2 2 2" xfId="3"/>
    <cellStyle name="20% - Accent1 2 2 2 2" xfId="970"/>
    <cellStyle name="20% - Accent1 2 2 2 2 2" xfId="1639"/>
    <cellStyle name="20% - Accent1 2 2 2 2 2 2" xfId="2094"/>
    <cellStyle name="20% - Accent1 2 2 2 2 2 3" xfId="2547"/>
    <cellStyle name="20% - Accent1 2 2 2 2 2 4" xfId="3000"/>
    <cellStyle name="20% - Accent1 2 2 2 2 3" xfId="1867"/>
    <cellStyle name="20% - Accent1 2 2 2 2 4" xfId="2321"/>
    <cellStyle name="20% - Accent1 2 2 2 2 5" xfId="2774"/>
    <cellStyle name="20% - Accent1 2 2 2 2 6" xfId="1404"/>
    <cellStyle name="20% - Accent1 2 2 2 3" xfId="826"/>
    <cellStyle name="20% - Accent1 2 2 2 3 2" xfId="1981"/>
    <cellStyle name="20% - Accent1 2 2 2 3 3" xfId="2434"/>
    <cellStyle name="20% - Accent1 2 2 2 3 4" xfId="2887"/>
    <cellStyle name="20% - Accent1 2 2 2 3 5" xfId="1526"/>
    <cellStyle name="20% - Accent1 2 2 2 4" xfId="1754"/>
    <cellStyle name="20% - Accent1 2 2 2 5" xfId="2208"/>
    <cellStyle name="20% - Accent1 2 2 2 6" xfId="2661"/>
    <cellStyle name="20% - Accent1 2 2 2 7" xfId="1246"/>
    <cellStyle name="20% - Accent1 2 2 3" xfId="969"/>
    <cellStyle name="20% - Accent1 2 2 3 2" xfId="1582"/>
    <cellStyle name="20% - Accent1 2 2 3 2 2" xfId="2037"/>
    <cellStyle name="20% - Accent1 2 2 3 2 3" xfId="2490"/>
    <cellStyle name="20% - Accent1 2 2 3 2 4" xfId="2943"/>
    <cellStyle name="20% - Accent1 2 2 3 3" xfId="1810"/>
    <cellStyle name="20% - Accent1 2 2 3 4" xfId="2264"/>
    <cellStyle name="20% - Accent1 2 2 3 5" xfId="2717"/>
    <cellStyle name="20% - Accent1 2 2 3 6" xfId="1347"/>
    <cellStyle name="20% - Accent1 2 2 4" xfId="1087"/>
    <cellStyle name="20% - Accent1 2 2 4 2" xfId="1924"/>
    <cellStyle name="20% - Accent1 2 2 4 3" xfId="2377"/>
    <cellStyle name="20% - Accent1 2 2 4 4" xfId="2830"/>
    <cellStyle name="20% - Accent1 2 2 4 5" xfId="1469"/>
    <cellStyle name="20% - Accent1 2 2 5" xfId="732"/>
    <cellStyle name="20% - Accent1 2 2 5 2" xfId="1697"/>
    <cellStyle name="20% - Accent1 2 2 6" xfId="2151"/>
    <cellStyle name="20% - Accent1 2 2 7" xfId="2604"/>
    <cellStyle name="20% - Accent1 2 2 8" xfId="1189"/>
    <cellStyle name="20% - Accent1 2 3" xfId="4"/>
    <cellStyle name="20% - Accent1 2 3 2" xfId="757"/>
    <cellStyle name="20% - Accent1 2 4" xfId="5"/>
    <cellStyle name="20% - Accent1 2 4 2" xfId="971"/>
    <cellStyle name="20% - Accent1 2 4 2 2" xfId="1612"/>
    <cellStyle name="20% - Accent1 2 4 2 2 2" xfId="2067"/>
    <cellStyle name="20% - Accent1 2 4 2 2 3" xfId="2520"/>
    <cellStyle name="20% - Accent1 2 4 2 2 4" xfId="2973"/>
    <cellStyle name="20% - Accent1 2 4 2 3" xfId="1840"/>
    <cellStyle name="20% - Accent1 2 4 2 4" xfId="2294"/>
    <cellStyle name="20% - Accent1 2 4 2 5" xfId="2747"/>
    <cellStyle name="20% - Accent1 2 4 2 6" xfId="1377"/>
    <cellStyle name="20% - Accent1 2 4 3" xfId="773"/>
    <cellStyle name="20% - Accent1 2 4 3 2" xfId="1954"/>
    <cellStyle name="20% - Accent1 2 4 3 3" xfId="2407"/>
    <cellStyle name="20% - Accent1 2 4 3 4" xfId="2860"/>
    <cellStyle name="20% - Accent1 2 4 3 5" xfId="1499"/>
    <cellStyle name="20% - Accent1 2 4 4" xfId="1727"/>
    <cellStyle name="20% - Accent1 2 4 5" xfId="2181"/>
    <cellStyle name="20% - Accent1 2 4 6" xfId="2634"/>
    <cellStyle name="20% - Accent1 2 4 7" xfId="1219"/>
    <cellStyle name="20% - Accent1 2 5" xfId="968"/>
    <cellStyle name="20% - Accent1 2 5 2" xfId="1553"/>
    <cellStyle name="20% - Accent1 2 5 2 2" xfId="2008"/>
    <cellStyle name="20% - Accent1 2 5 2 3" xfId="2461"/>
    <cellStyle name="20% - Accent1 2 5 2 4" xfId="2914"/>
    <cellStyle name="20% - Accent1 2 5 3" xfId="1781"/>
    <cellStyle name="20% - Accent1 2 5 4" xfId="2235"/>
    <cellStyle name="20% - Accent1 2 5 5" xfId="2688"/>
    <cellStyle name="20% - Accent1 2 5 6" xfId="1318"/>
    <cellStyle name="20% - Accent1 2 6" xfId="1051"/>
    <cellStyle name="20% - Accent1 2 6 2" xfId="1895"/>
    <cellStyle name="20% - Accent1 2 6 3" xfId="2348"/>
    <cellStyle name="20% - Accent1 2 6 4" xfId="2801"/>
    <cellStyle name="20% - Accent1 2 6 5" xfId="1440"/>
    <cellStyle name="20% - Accent1 2 7" xfId="697"/>
    <cellStyle name="20% - Accent1 2 7 2" xfId="1668"/>
    <cellStyle name="20% - Accent1 2 8" xfId="2122"/>
    <cellStyle name="20% - Accent1 2 9" xfId="2575"/>
    <cellStyle name="20% - Accent1 3" xfId="6"/>
    <cellStyle name="20% - Accent1 3 2" xfId="7"/>
    <cellStyle name="20% - Accent1 3 2 2" xfId="743"/>
    <cellStyle name="20% - Accent1 3 3" xfId="712"/>
    <cellStyle name="20% - Accent1 4" xfId="1272"/>
    <cellStyle name="20% - Accent2 2" xfId="8"/>
    <cellStyle name="20% - Accent2 2 10" xfId="1161"/>
    <cellStyle name="20% - Accent2 2 2" xfId="9"/>
    <cellStyle name="20% - Accent2 2 2 2" xfId="10"/>
    <cellStyle name="20% - Accent2 2 2 2 2" xfId="974"/>
    <cellStyle name="20% - Accent2 2 2 2 2 2" xfId="1640"/>
    <cellStyle name="20% - Accent2 2 2 2 2 2 2" xfId="2095"/>
    <cellStyle name="20% - Accent2 2 2 2 2 2 3" xfId="2548"/>
    <cellStyle name="20% - Accent2 2 2 2 2 2 4" xfId="3001"/>
    <cellStyle name="20% - Accent2 2 2 2 2 3" xfId="1868"/>
    <cellStyle name="20% - Accent2 2 2 2 2 4" xfId="2322"/>
    <cellStyle name="20% - Accent2 2 2 2 2 5" xfId="2775"/>
    <cellStyle name="20% - Accent2 2 2 2 2 6" xfId="1405"/>
    <cellStyle name="20% - Accent2 2 2 2 3" xfId="827"/>
    <cellStyle name="20% - Accent2 2 2 2 3 2" xfId="1982"/>
    <cellStyle name="20% - Accent2 2 2 2 3 3" xfId="2435"/>
    <cellStyle name="20% - Accent2 2 2 2 3 4" xfId="2888"/>
    <cellStyle name="20% - Accent2 2 2 2 3 5" xfId="1527"/>
    <cellStyle name="20% - Accent2 2 2 2 4" xfId="1755"/>
    <cellStyle name="20% - Accent2 2 2 2 5" xfId="2209"/>
    <cellStyle name="20% - Accent2 2 2 2 6" xfId="2662"/>
    <cellStyle name="20% - Accent2 2 2 2 7" xfId="1247"/>
    <cellStyle name="20% - Accent2 2 2 3" xfId="973"/>
    <cellStyle name="20% - Accent2 2 2 3 2" xfId="1583"/>
    <cellStyle name="20% - Accent2 2 2 3 2 2" xfId="2038"/>
    <cellStyle name="20% - Accent2 2 2 3 2 3" xfId="2491"/>
    <cellStyle name="20% - Accent2 2 2 3 2 4" xfId="2944"/>
    <cellStyle name="20% - Accent2 2 2 3 3" xfId="1811"/>
    <cellStyle name="20% - Accent2 2 2 3 4" xfId="2265"/>
    <cellStyle name="20% - Accent2 2 2 3 5" xfId="2718"/>
    <cellStyle name="20% - Accent2 2 2 3 6" xfId="1348"/>
    <cellStyle name="20% - Accent2 2 2 4" xfId="1088"/>
    <cellStyle name="20% - Accent2 2 2 4 2" xfId="1925"/>
    <cellStyle name="20% - Accent2 2 2 4 3" xfId="2378"/>
    <cellStyle name="20% - Accent2 2 2 4 4" xfId="2831"/>
    <cellStyle name="20% - Accent2 2 2 4 5" xfId="1470"/>
    <cellStyle name="20% - Accent2 2 2 5" xfId="733"/>
    <cellStyle name="20% - Accent2 2 2 5 2" xfId="1698"/>
    <cellStyle name="20% - Accent2 2 2 6" xfId="2152"/>
    <cellStyle name="20% - Accent2 2 2 7" xfId="2605"/>
    <cellStyle name="20% - Accent2 2 2 8" xfId="1190"/>
    <cellStyle name="20% - Accent2 2 3" xfId="11"/>
    <cellStyle name="20% - Accent2 2 3 2" xfId="758"/>
    <cellStyle name="20% - Accent2 2 4" xfId="12"/>
    <cellStyle name="20% - Accent2 2 4 2" xfId="975"/>
    <cellStyle name="20% - Accent2 2 4 2 2" xfId="1613"/>
    <cellStyle name="20% - Accent2 2 4 2 2 2" xfId="2068"/>
    <cellStyle name="20% - Accent2 2 4 2 2 3" xfId="2521"/>
    <cellStyle name="20% - Accent2 2 4 2 2 4" xfId="2974"/>
    <cellStyle name="20% - Accent2 2 4 2 3" xfId="1841"/>
    <cellStyle name="20% - Accent2 2 4 2 4" xfId="2295"/>
    <cellStyle name="20% - Accent2 2 4 2 5" xfId="2748"/>
    <cellStyle name="20% - Accent2 2 4 2 6" xfId="1378"/>
    <cellStyle name="20% - Accent2 2 4 3" xfId="774"/>
    <cellStyle name="20% - Accent2 2 4 3 2" xfId="1955"/>
    <cellStyle name="20% - Accent2 2 4 3 3" xfId="2408"/>
    <cellStyle name="20% - Accent2 2 4 3 4" xfId="2861"/>
    <cellStyle name="20% - Accent2 2 4 3 5" xfId="1500"/>
    <cellStyle name="20% - Accent2 2 4 4" xfId="1728"/>
    <cellStyle name="20% - Accent2 2 4 5" xfId="2182"/>
    <cellStyle name="20% - Accent2 2 4 6" xfId="2635"/>
    <cellStyle name="20% - Accent2 2 4 7" xfId="1220"/>
    <cellStyle name="20% - Accent2 2 5" xfId="972"/>
    <cellStyle name="20% - Accent2 2 5 2" xfId="1554"/>
    <cellStyle name="20% - Accent2 2 5 2 2" xfId="2009"/>
    <cellStyle name="20% - Accent2 2 5 2 3" xfId="2462"/>
    <cellStyle name="20% - Accent2 2 5 2 4" xfId="2915"/>
    <cellStyle name="20% - Accent2 2 5 3" xfId="1782"/>
    <cellStyle name="20% - Accent2 2 5 4" xfId="2236"/>
    <cellStyle name="20% - Accent2 2 5 5" xfId="2689"/>
    <cellStyle name="20% - Accent2 2 5 6" xfId="1319"/>
    <cellStyle name="20% - Accent2 2 6" xfId="1052"/>
    <cellStyle name="20% - Accent2 2 6 2" xfId="1896"/>
    <cellStyle name="20% - Accent2 2 6 3" xfId="2349"/>
    <cellStyle name="20% - Accent2 2 6 4" xfId="2802"/>
    <cellStyle name="20% - Accent2 2 6 5" xfId="1441"/>
    <cellStyle name="20% - Accent2 2 7" xfId="698"/>
    <cellStyle name="20% - Accent2 2 7 2" xfId="1669"/>
    <cellStyle name="20% - Accent2 2 8" xfId="2123"/>
    <cellStyle name="20% - Accent2 2 9" xfId="2576"/>
    <cellStyle name="20% - Accent2 3" xfId="13"/>
    <cellStyle name="20% - Accent2 3 2" xfId="14"/>
    <cellStyle name="20% - Accent2 3 2 2" xfId="744"/>
    <cellStyle name="20% - Accent2 3 3" xfId="713"/>
    <cellStyle name="20% - Accent2 4" xfId="1273"/>
    <cellStyle name="20% - Accent3 2" xfId="15"/>
    <cellStyle name="20% - Accent3 2 10" xfId="1162"/>
    <cellStyle name="20% - Accent3 2 2" xfId="16"/>
    <cellStyle name="20% - Accent3 2 2 2" xfId="17"/>
    <cellStyle name="20% - Accent3 2 2 2 2" xfId="978"/>
    <cellStyle name="20% - Accent3 2 2 2 2 2" xfId="1641"/>
    <cellStyle name="20% - Accent3 2 2 2 2 2 2" xfId="2096"/>
    <cellStyle name="20% - Accent3 2 2 2 2 2 3" xfId="2549"/>
    <cellStyle name="20% - Accent3 2 2 2 2 2 4" xfId="3002"/>
    <cellStyle name="20% - Accent3 2 2 2 2 3" xfId="1869"/>
    <cellStyle name="20% - Accent3 2 2 2 2 4" xfId="2323"/>
    <cellStyle name="20% - Accent3 2 2 2 2 5" xfId="2776"/>
    <cellStyle name="20% - Accent3 2 2 2 2 6" xfId="1406"/>
    <cellStyle name="20% - Accent3 2 2 2 3" xfId="828"/>
    <cellStyle name="20% - Accent3 2 2 2 3 2" xfId="1983"/>
    <cellStyle name="20% - Accent3 2 2 2 3 3" xfId="2436"/>
    <cellStyle name="20% - Accent3 2 2 2 3 4" xfId="2889"/>
    <cellStyle name="20% - Accent3 2 2 2 3 5" xfId="1528"/>
    <cellStyle name="20% - Accent3 2 2 2 4" xfId="1756"/>
    <cellStyle name="20% - Accent3 2 2 2 5" xfId="2210"/>
    <cellStyle name="20% - Accent3 2 2 2 6" xfId="2663"/>
    <cellStyle name="20% - Accent3 2 2 2 7" xfId="1248"/>
    <cellStyle name="20% - Accent3 2 2 3" xfId="977"/>
    <cellStyle name="20% - Accent3 2 2 3 2" xfId="1584"/>
    <cellStyle name="20% - Accent3 2 2 3 2 2" xfId="2039"/>
    <cellStyle name="20% - Accent3 2 2 3 2 3" xfId="2492"/>
    <cellStyle name="20% - Accent3 2 2 3 2 4" xfId="2945"/>
    <cellStyle name="20% - Accent3 2 2 3 3" xfId="1812"/>
    <cellStyle name="20% - Accent3 2 2 3 4" xfId="2266"/>
    <cellStyle name="20% - Accent3 2 2 3 5" xfId="2719"/>
    <cellStyle name="20% - Accent3 2 2 3 6" xfId="1349"/>
    <cellStyle name="20% - Accent3 2 2 4" xfId="1089"/>
    <cellStyle name="20% - Accent3 2 2 4 2" xfId="1926"/>
    <cellStyle name="20% - Accent3 2 2 4 3" xfId="2379"/>
    <cellStyle name="20% - Accent3 2 2 4 4" xfId="2832"/>
    <cellStyle name="20% - Accent3 2 2 4 5" xfId="1471"/>
    <cellStyle name="20% - Accent3 2 2 5" xfId="734"/>
    <cellStyle name="20% - Accent3 2 2 5 2" xfId="1699"/>
    <cellStyle name="20% - Accent3 2 2 6" xfId="2153"/>
    <cellStyle name="20% - Accent3 2 2 7" xfId="2606"/>
    <cellStyle name="20% - Accent3 2 2 8" xfId="1191"/>
    <cellStyle name="20% - Accent3 2 3" xfId="18"/>
    <cellStyle name="20% - Accent3 2 3 2" xfId="759"/>
    <cellStyle name="20% - Accent3 2 4" xfId="19"/>
    <cellStyle name="20% - Accent3 2 4 2" xfId="979"/>
    <cellStyle name="20% - Accent3 2 4 2 2" xfId="1614"/>
    <cellStyle name="20% - Accent3 2 4 2 2 2" xfId="2069"/>
    <cellStyle name="20% - Accent3 2 4 2 2 3" xfId="2522"/>
    <cellStyle name="20% - Accent3 2 4 2 2 4" xfId="2975"/>
    <cellStyle name="20% - Accent3 2 4 2 3" xfId="1842"/>
    <cellStyle name="20% - Accent3 2 4 2 4" xfId="2296"/>
    <cellStyle name="20% - Accent3 2 4 2 5" xfId="2749"/>
    <cellStyle name="20% - Accent3 2 4 2 6" xfId="1379"/>
    <cellStyle name="20% - Accent3 2 4 3" xfId="775"/>
    <cellStyle name="20% - Accent3 2 4 3 2" xfId="1956"/>
    <cellStyle name="20% - Accent3 2 4 3 3" xfId="2409"/>
    <cellStyle name="20% - Accent3 2 4 3 4" xfId="2862"/>
    <cellStyle name="20% - Accent3 2 4 3 5" xfId="1501"/>
    <cellStyle name="20% - Accent3 2 4 4" xfId="1729"/>
    <cellStyle name="20% - Accent3 2 4 5" xfId="2183"/>
    <cellStyle name="20% - Accent3 2 4 6" xfId="2636"/>
    <cellStyle name="20% - Accent3 2 4 7" xfId="1221"/>
    <cellStyle name="20% - Accent3 2 5" xfId="976"/>
    <cellStyle name="20% - Accent3 2 5 2" xfId="1555"/>
    <cellStyle name="20% - Accent3 2 5 2 2" xfId="2010"/>
    <cellStyle name="20% - Accent3 2 5 2 3" xfId="2463"/>
    <cellStyle name="20% - Accent3 2 5 2 4" xfId="2916"/>
    <cellStyle name="20% - Accent3 2 5 3" xfId="1783"/>
    <cellStyle name="20% - Accent3 2 5 4" xfId="2237"/>
    <cellStyle name="20% - Accent3 2 5 5" xfId="2690"/>
    <cellStyle name="20% - Accent3 2 5 6" xfId="1320"/>
    <cellStyle name="20% - Accent3 2 6" xfId="1053"/>
    <cellStyle name="20% - Accent3 2 6 2" xfId="1897"/>
    <cellStyle name="20% - Accent3 2 6 3" xfId="2350"/>
    <cellStyle name="20% - Accent3 2 6 4" xfId="2803"/>
    <cellStyle name="20% - Accent3 2 6 5" xfId="1442"/>
    <cellStyle name="20% - Accent3 2 7" xfId="699"/>
    <cellStyle name="20% - Accent3 2 7 2" xfId="1670"/>
    <cellStyle name="20% - Accent3 2 8" xfId="2124"/>
    <cellStyle name="20% - Accent3 2 9" xfId="2577"/>
    <cellStyle name="20% - Accent3 3" xfId="20"/>
    <cellStyle name="20% - Accent3 3 2" xfId="21"/>
    <cellStyle name="20% - Accent3 3 2 2" xfId="745"/>
    <cellStyle name="20% - Accent3 3 3" xfId="714"/>
    <cellStyle name="20% - Accent3 4" xfId="1274"/>
    <cellStyle name="20% - Accent4 2" xfId="22"/>
    <cellStyle name="20% - Accent4 2 10" xfId="1163"/>
    <cellStyle name="20% - Accent4 2 2" xfId="23"/>
    <cellStyle name="20% - Accent4 2 2 2" xfId="24"/>
    <cellStyle name="20% - Accent4 2 2 2 2" xfId="982"/>
    <cellStyle name="20% - Accent4 2 2 2 2 2" xfId="1642"/>
    <cellStyle name="20% - Accent4 2 2 2 2 2 2" xfId="2097"/>
    <cellStyle name="20% - Accent4 2 2 2 2 2 3" xfId="2550"/>
    <cellStyle name="20% - Accent4 2 2 2 2 2 4" xfId="3003"/>
    <cellStyle name="20% - Accent4 2 2 2 2 3" xfId="1870"/>
    <cellStyle name="20% - Accent4 2 2 2 2 4" xfId="2324"/>
    <cellStyle name="20% - Accent4 2 2 2 2 5" xfId="2777"/>
    <cellStyle name="20% - Accent4 2 2 2 2 6" xfId="1407"/>
    <cellStyle name="20% - Accent4 2 2 2 3" xfId="829"/>
    <cellStyle name="20% - Accent4 2 2 2 3 2" xfId="1984"/>
    <cellStyle name="20% - Accent4 2 2 2 3 3" xfId="2437"/>
    <cellStyle name="20% - Accent4 2 2 2 3 4" xfId="2890"/>
    <cellStyle name="20% - Accent4 2 2 2 3 5" xfId="1529"/>
    <cellStyle name="20% - Accent4 2 2 2 4" xfId="1757"/>
    <cellStyle name="20% - Accent4 2 2 2 5" xfId="2211"/>
    <cellStyle name="20% - Accent4 2 2 2 6" xfId="2664"/>
    <cellStyle name="20% - Accent4 2 2 2 7" xfId="1249"/>
    <cellStyle name="20% - Accent4 2 2 3" xfId="981"/>
    <cellStyle name="20% - Accent4 2 2 3 2" xfId="1585"/>
    <cellStyle name="20% - Accent4 2 2 3 2 2" xfId="2040"/>
    <cellStyle name="20% - Accent4 2 2 3 2 3" xfId="2493"/>
    <cellStyle name="20% - Accent4 2 2 3 2 4" xfId="2946"/>
    <cellStyle name="20% - Accent4 2 2 3 3" xfId="1813"/>
    <cellStyle name="20% - Accent4 2 2 3 4" xfId="2267"/>
    <cellStyle name="20% - Accent4 2 2 3 5" xfId="2720"/>
    <cellStyle name="20% - Accent4 2 2 3 6" xfId="1350"/>
    <cellStyle name="20% - Accent4 2 2 4" xfId="1090"/>
    <cellStyle name="20% - Accent4 2 2 4 2" xfId="1927"/>
    <cellStyle name="20% - Accent4 2 2 4 3" xfId="2380"/>
    <cellStyle name="20% - Accent4 2 2 4 4" xfId="2833"/>
    <cellStyle name="20% - Accent4 2 2 4 5" xfId="1472"/>
    <cellStyle name="20% - Accent4 2 2 5" xfId="735"/>
    <cellStyle name="20% - Accent4 2 2 5 2" xfId="1700"/>
    <cellStyle name="20% - Accent4 2 2 6" xfId="2154"/>
    <cellStyle name="20% - Accent4 2 2 7" xfId="2607"/>
    <cellStyle name="20% - Accent4 2 2 8" xfId="1192"/>
    <cellStyle name="20% - Accent4 2 3" xfId="25"/>
    <cellStyle name="20% - Accent4 2 3 2" xfId="760"/>
    <cellStyle name="20% - Accent4 2 4" xfId="26"/>
    <cellStyle name="20% - Accent4 2 4 2" xfId="983"/>
    <cellStyle name="20% - Accent4 2 4 2 2" xfId="1615"/>
    <cellStyle name="20% - Accent4 2 4 2 2 2" xfId="2070"/>
    <cellStyle name="20% - Accent4 2 4 2 2 3" xfId="2523"/>
    <cellStyle name="20% - Accent4 2 4 2 2 4" xfId="2976"/>
    <cellStyle name="20% - Accent4 2 4 2 3" xfId="1843"/>
    <cellStyle name="20% - Accent4 2 4 2 4" xfId="2297"/>
    <cellStyle name="20% - Accent4 2 4 2 5" xfId="2750"/>
    <cellStyle name="20% - Accent4 2 4 2 6" xfId="1380"/>
    <cellStyle name="20% - Accent4 2 4 3" xfId="776"/>
    <cellStyle name="20% - Accent4 2 4 3 2" xfId="1957"/>
    <cellStyle name="20% - Accent4 2 4 3 3" xfId="2410"/>
    <cellStyle name="20% - Accent4 2 4 3 4" xfId="2863"/>
    <cellStyle name="20% - Accent4 2 4 3 5" xfId="1502"/>
    <cellStyle name="20% - Accent4 2 4 4" xfId="1730"/>
    <cellStyle name="20% - Accent4 2 4 5" xfId="2184"/>
    <cellStyle name="20% - Accent4 2 4 6" xfId="2637"/>
    <cellStyle name="20% - Accent4 2 4 7" xfId="1222"/>
    <cellStyle name="20% - Accent4 2 5" xfId="980"/>
    <cellStyle name="20% - Accent4 2 5 2" xfId="1556"/>
    <cellStyle name="20% - Accent4 2 5 2 2" xfId="2011"/>
    <cellStyle name="20% - Accent4 2 5 2 3" xfId="2464"/>
    <cellStyle name="20% - Accent4 2 5 2 4" xfId="2917"/>
    <cellStyle name="20% - Accent4 2 5 3" xfId="1784"/>
    <cellStyle name="20% - Accent4 2 5 4" xfId="2238"/>
    <cellStyle name="20% - Accent4 2 5 5" xfId="2691"/>
    <cellStyle name="20% - Accent4 2 5 6" xfId="1321"/>
    <cellStyle name="20% - Accent4 2 6" xfId="1054"/>
    <cellStyle name="20% - Accent4 2 6 2" xfId="1898"/>
    <cellStyle name="20% - Accent4 2 6 3" xfId="2351"/>
    <cellStyle name="20% - Accent4 2 6 4" xfId="2804"/>
    <cellStyle name="20% - Accent4 2 6 5" xfId="1443"/>
    <cellStyle name="20% - Accent4 2 7" xfId="700"/>
    <cellStyle name="20% - Accent4 2 7 2" xfId="1671"/>
    <cellStyle name="20% - Accent4 2 8" xfId="2125"/>
    <cellStyle name="20% - Accent4 2 9" xfId="2578"/>
    <cellStyle name="20% - Accent4 3" xfId="27"/>
    <cellStyle name="20% - Accent4 3 2" xfId="28"/>
    <cellStyle name="20% - Accent4 3 2 2" xfId="746"/>
    <cellStyle name="20% - Accent4 3 3" xfId="715"/>
    <cellStyle name="20% - Accent4 4" xfId="1275"/>
    <cellStyle name="20% - Accent5 2" xfId="29"/>
    <cellStyle name="20% - Accent5 2 10" xfId="1164"/>
    <cellStyle name="20% - Accent5 2 2" xfId="30"/>
    <cellStyle name="20% - Accent5 2 2 2" xfId="31"/>
    <cellStyle name="20% - Accent5 2 2 2 2" xfId="1408"/>
    <cellStyle name="20% - Accent5 2 2 2 2 2" xfId="1643"/>
    <cellStyle name="20% - Accent5 2 2 2 2 2 2" xfId="2098"/>
    <cellStyle name="20% - Accent5 2 2 2 2 2 3" xfId="2551"/>
    <cellStyle name="20% - Accent5 2 2 2 2 2 4" xfId="3004"/>
    <cellStyle name="20% - Accent5 2 2 2 2 3" xfId="1871"/>
    <cellStyle name="20% - Accent5 2 2 2 2 4" xfId="2325"/>
    <cellStyle name="20% - Accent5 2 2 2 2 5" xfId="2778"/>
    <cellStyle name="20% - Accent5 2 2 2 3" xfId="1530"/>
    <cellStyle name="20% - Accent5 2 2 2 3 2" xfId="1985"/>
    <cellStyle name="20% - Accent5 2 2 2 3 3" xfId="2438"/>
    <cellStyle name="20% - Accent5 2 2 2 3 4" xfId="2891"/>
    <cellStyle name="20% - Accent5 2 2 2 4" xfId="1758"/>
    <cellStyle name="20% - Accent5 2 2 2 5" xfId="2212"/>
    <cellStyle name="20% - Accent5 2 2 2 6" xfId="2665"/>
    <cellStyle name="20% - Accent5 2 2 2 7" xfId="1250"/>
    <cellStyle name="20% - Accent5 2 2 3" xfId="1091"/>
    <cellStyle name="20% - Accent5 2 2 3 2" xfId="1586"/>
    <cellStyle name="20% - Accent5 2 2 3 2 2" xfId="2041"/>
    <cellStyle name="20% - Accent5 2 2 3 2 3" xfId="2494"/>
    <cellStyle name="20% - Accent5 2 2 3 2 4" xfId="2947"/>
    <cellStyle name="20% - Accent5 2 2 3 3" xfId="1814"/>
    <cellStyle name="20% - Accent5 2 2 3 4" xfId="2268"/>
    <cellStyle name="20% - Accent5 2 2 3 5" xfId="2721"/>
    <cellStyle name="20% - Accent5 2 2 3 6" xfId="1351"/>
    <cellStyle name="20% - Accent5 2 2 4" xfId="1473"/>
    <cellStyle name="20% - Accent5 2 2 4 2" xfId="1928"/>
    <cellStyle name="20% - Accent5 2 2 4 3" xfId="2381"/>
    <cellStyle name="20% - Accent5 2 2 4 4" xfId="2834"/>
    <cellStyle name="20% - Accent5 2 2 5" xfId="1701"/>
    <cellStyle name="20% - Accent5 2 2 6" xfId="2155"/>
    <cellStyle name="20% - Accent5 2 2 7" xfId="2608"/>
    <cellStyle name="20% - Accent5 2 2 8" xfId="1193"/>
    <cellStyle name="20% - Accent5 2 3" xfId="32"/>
    <cellStyle name="20% - Accent5 2 3 2" xfId="761"/>
    <cellStyle name="20% - Accent5 2 4" xfId="33"/>
    <cellStyle name="20% - Accent5 2 4 2" xfId="1381"/>
    <cellStyle name="20% - Accent5 2 4 2 2" xfId="1616"/>
    <cellStyle name="20% - Accent5 2 4 2 2 2" xfId="2071"/>
    <cellStyle name="20% - Accent5 2 4 2 2 3" xfId="2524"/>
    <cellStyle name="20% - Accent5 2 4 2 2 4" xfId="2977"/>
    <cellStyle name="20% - Accent5 2 4 2 3" xfId="1844"/>
    <cellStyle name="20% - Accent5 2 4 2 4" xfId="2298"/>
    <cellStyle name="20% - Accent5 2 4 2 5" xfId="2751"/>
    <cellStyle name="20% - Accent5 2 4 3" xfId="1503"/>
    <cellStyle name="20% - Accent5 2 4 3 2" xfId="1958"/>
    <cellStyle name="20% - Accent5 2 4 3 3" xfId="2411"/>
    <cellStyle name="20% - Accent5 2 4 3 4" xfId="2864"/>
    <cellStyle name="20% - Accent5 2 4 4" xfId="1731"/>
    <cellStyle name="20% - Accent5 2 4 5" xfId="2185"/>
    <cellStyle name="20% - Accent5 2 4 6" xfId="2638"/>
    <cellStyle name="20% - Accent5 2 4 7" xfId="1223"/>
    <cellStyle name="20% - Accent5 2 5" xfId="1055"/>
    <cellStyle name="20% - Accent5 2 5 2" xfId="1557"/>
    <cellStyle name="20% - Accent5 2 5 2 2" xfId="2012"/>
    <cellStyle name="20% - Accent5 2 5 2 3" xfId="2465"/>
    <cellStyle name="20% - Accent5 2 5 2 4" xfId="2918"/>
    <cellStyle name="20% - Accent5 2 5 3" xfId="1785"/>
    <cellStyle name="20% - Accent5 2 5 4" xfId="2239"/>
    <cellStyle name="20% - Accent5 2 5 5" xfId="2692"/>
    <cellStyle name="20% - Accent5 2 5 6" xfId="1322"/>
    <cellStyle name="20% - Accent5 2 6" xfId="1444"/>
    <cellStyle name="20% - Accent5 2 6 2" xfId="1899"/>
    <cellStyle name="20% - Accent5 2 6 3" xfId="2352"/>
    <cellStyle name="20% - Accent5 2 6 4" xfId="2805"/>
    <cellStyle name="20% - Accent5 2 7" xfId="1672"/>
    <cellStyle name="20% - Accent5 2 8" xfId="2126"/>
    <cellStyle name="20% - Accent5 2 9" xfId="2579"/>
    <cellStyle name="20% - Accent5 3" xfId="34"/>
    <cellStyle name="20% - Accent5 3 2" xfId="35"/>
    <cellStyle name="20% - Accent5 3 2 2" xfId="747"/>
    <cellStyle name="20% - Accent5 3 3" xfId="716"/>
    <cellStyle name="20% - Accent6 2" xfId="36"/>
    <cellStyle name="20% - Accent6 2 10" xfId="1165"/>
    <cellStyle name="20% - Accent6 2 2" xfId="37"/>
    <cellStyle name="20% - Accent6 2 2 2" xfId="38"/>
    <cellStyle name="20% - Accent6 2 2 2 2" xfId="1409"/>
    <cellStyle name="20% - Accent6 2 2 2 2 2" xfId="1644"/>
    <cellStyle name="20% - Accent6 2 2 2 2 2 2" xfId="2099"/>
    <cellStyle name="20% - Accent6 2 2 2 2 2 3" xfId="2552"/>
    <cellStyle name="20% - Accent6 2 2 2 2 2 4" xfId="3005"/>
    <cellStyle name="20% - Accent6 2 2 2 2 3" xfId="1872"/>
    <cellStyle name="20% - Accent6 2 2 2 2 4" xfId="2326"/>
    <cellStyle name="20% - Accent6 2 2 2 2 5" xfId="2779"/>
    <cellStyle name="20% - Accent6 2 2 2 3" xfId="1531"/>
    <cellStyle name="20% - Accent6 2 2 2 3 2" xfId="1986"/>
    <cellStyle name="20% - Accent6 2 2 2 3 3" xfId="2439"/>
    <cellStyle name="20% - Accent6 2 2 2 3 4" xfId="2892"/>
    <cellStyle name="20% - Accent6 2 2 2 4" xfId="1759"/>
    <cellStyle name="20% - Accent6 2 2 2 5" xfId="2213"/>
    <cellStyle name="20% - Accent6 2 2 2 6" xfId="2666"/>
    <cellStyle name="20% - Accent6 2 2 2 7" xfId="1251"/>
    <cellStyle name="20% - Accent6 2 2 3" xfId="1092"/>
    <cellStyle name="20% - Accent6 2 2 3 2" xfId="1587"/>
    <cellStyle name="20% - Accent6 2 2 3 2 2" xfId="2042"/>
    <cellStyle name="20% - Accent6 2 2 3 2 3" xfId="2495"/>
    <cellStyle name="20% - Accent6 2 2 3 2 4" xfId="2948"/>
    <cellStyle name="20% - Accent6 2 2 3 3" xfId="1815"/>
    <cellStyle name="20% - Accent6 2 2 3 4" xfId="2269"/>
    <cellStyle name="20% - Accent6 2 2 3 5" xfId="2722"/>
    <cellStyle name="20% - Accent6 2 2 3 6" xfId="1352"/>
    <cellStyle name="20% - Accent6 2 2 4" xfId="1474"/>
    <cellStyle name="20% - Accent6 2 2 4 2" xfId="1929"/>
    <cellStyle name="20% - Accent6 2 2 4 3" xfId="2382"/>
    <cellStyle name="20% - Accent6 2 2 4 4" xfId="2835"/>
    <cellStyle name="20% - Accent6 2 2 5" xfId="1702"/>
    <cellStyle name="20% - Accent6 2 2 6" xfId="2156"/>
    <cellStyle name="20% - Accent6 2 2 7" xfId="2609"/>
    <cellStyle name="20% - Accent6 2 2 8" xfId="1194"/>
    <cellStyle name="20% - Accent6 2 3" xfId="39"/>
    <cellStyle name="20% - Accent6 2 3 2" xfId="762"/>
    <cellStyle name="20% - Accent6 2 4" xfId="40"/>
    <cellStyle name="20% - Accent6 2 4 2" xfId="1382"/>
    <cellStyle name="20% - Accent6 2 4 2 2" xfId="1617"/>
    <cellStyle name="20% - Accent6 2 4 2 2 2" xfId="2072"/>
    <cellStyle name="20% - Accent6 2 4 2 2 3" xfId="2525"/>
    <cellStyle name="20% - Accent6 2 4 2 2 4" xfId="2978"/>
    <cellStyle name="20% - Accent6 2 4 2 3" xfId="1845"/>
    <cellStyle name="20% - Accent6 2 4 2 4" xfId="2299"/>
    <cellStyle name="20% - Accent6 2 4 2 5" xfId="2752"/>
    <cellStyle name="20% - Accent6 2 4 3" xfId="1504"/>
    <cellStyle name="20% - Accent6 2 4 3 2" xfId="1959"/>
    <cellStyle name="20% - Accent6 2 4 3 3" xfId="2412"/>
    <cellStyle name="20% - Accent6 2 4 3 4" xfId="2865"/>
    <cellStyle name="20% - Accent6 2 4 4" xfId="1732"/>
    <cellStyle name="20% - Accent6 2 4 5" xfId="2186"/>
    <cellStyle name="20% - Accent6 2 4 6" xfId="2639"/>
    <cellStyle name="20% - Accent6 2 4 7" xfId="1224"/>
    <cellStyle name="20% - Accent6 2 5" xfId="1056"/>
    <cellStyle name="20% - Accent6 2 5 2" xfId="1558"/>
    <cellStyle name="20% - Accent6 2 5 2 2" xfId="2013"/>
    <cellStyle name="20% - Accent6 2 5 2 3" xfId="2466"/>
    <cellStyle name="20% - Accent6 2 5 2 4" xfId="2919"/>
    <cellStyle name="20% - Accent6 2 5 3" xfId="1786"/>
    <cellStyle name="20% - Accent6 2 5 4" xfId="2240"/>
    <cellStyle name="20% - Accent6 2 5 5" xfId="2693"/>
    <cellStyle name="20% - Accent6 2 5 6" xfId="1323"/>
    <cellStyle name="20% - Accent6 2 6" xfId="1445"/>
    <cellStyle name="20% - Accent6 2 6 2" xfId="1900"/>
    <cellStyle name="20% - Accent6 2 6 3" xfId="2353"/>
    <cellStyle name="20% - Accent6 2 6 4" xfId="2806"/>
    <cellStyle name="20% - Accent6 2 7" xfId="1673"/>
    <cellStyle name="20% - Accent6 2 8" xfId="2127"/>
    <cellStyle name="20% - Accent6 2 9" xfId="2580"/>
    <cellStyle name="20% - Accent6 3" xfId="41"/>
    <cellStyle name="20% - Accent6 3 2" xfId="42"/>
    <cellStyle name="20% - Accent6 3 2 2" xfId="748"/>
    <cellStyle name="20% - Accent6 3 3" xfId="717"/>
    <cellStyle name="40% - Accent1 2" xfId="43"/>
    <cellStyle name="40% - Accent1 2 2" xfId="44"/>
    <cellStyle name="40% - Accent1 2 2 2" xfId="45"/>
    <cellStyle name="40% - Accent1 2 2 2 2" xfId="830"/>
    <cellStyle name="40% - Accent1 2 3" xfId="46"/>
    <cellStyle name="40% - Accent1 2 3 2" xfId="763"/>
    <cellStyle name="40% - Accent1 2 4" xfId="47"/>
    <cellStyle name="40% - Accent1 2 4 2" xfId="785"/>
    <cellStyle name="40% - Accent1 3" xfId="48"/>
    <cellStyle name="40% - Accent1 3 2" xfId="49"/>
    <cellStyle name="40% - Accent1 3 2 2" xfId="50"/>
    <cellStyle name="40% - Accent1 3 2 2 2" xfId="1410"/>
    <cellStyle name="40% - Accent1 3 2 2 2 2" xfId="1645"/>
    <cellStyle name="40% - Accent1 3 2 2 2 2 2" xfId="2100"/>
    <cellStyle name="40% - Accent1 3 2 2 2 2 3" xfId="2553"/>
    <cellStyle name="40% - Accent1 3 2 2 2 2 4" xfId="3006"/>
    <cellStyle name="40% - Accent1 3 2 2 2 3" xfId="1873"/>
    <cellStyle name="40% - Accent1 3 2 2 2 4" xfId="2327"/>
    <cellStyle name="40% - Accent1 3 2 2 2 5" xfId="2780"/>
    <cellStyle name="40% - Accent1 3 2 2 3" xfId="1532"/>
    <cellStyle name="40% - Accent1 3 2 2 3 2" xfId="1987"/>
    <cellStyle name="40% - Accent1 3 2 2 3 3" xfId="2440"/>
    <cellStyle name="40% - Accent1 3 2 2 3 4" xfId="2893"/>
    <cellStyle name="40% - Accent1 3 2 2 4" xfId="1760"/>
    <cellStyle name="40% - Accent1 3 2 2 5" xfId="2214"/>
    <cellStyle name="40% - Accent1 3 2 2 6" xfId="2667"/>
    <cellStyle name="40% - Accent1 3 2 2 7" xfId="1252"/>
    <cellStyle name="40% - Accent1 3 2 3" xfId="1093"/>
    <cellStyle name="40% - Accent1 3 2 3 2" xfId="1588"/>
    <cellStyle name="40% - Accent1 3 2 3 2 2" xfId="2043"/>
    <cellStyle name="40% - Accent1 3 2 3 2 3" xfId="2496"/>
    <cellStyle name="40% - Accent1 3 2 3 2 4" xfId="2949"/>
    <cellStyle name="40% - Accent1 3 2 3 3" xfId="1816"/>
    <cellStyle name="40% - Accent1 3 2 3 4" xfId="2270"/>
    <cellStyle name="40% - Accent1 3 2 3 5" xfId="2723"/>
    <cellStyle name="40% - Accent1 3 2 3 6" xfId="1353"/>
    <cellStyle name="40% - Accent1 3 2 4" xfId="1475"/>
    <cellStyle name="40% - Accent1 3 2 4 2" xfId="1930"/>
    <cellStyle name="40% - Accent1 3 2 4 3" xfId="2383"/>
    <cellStyle name="40% - Accent1 3 2 4 4" xfId="2836"/>
    <cellStyle name="40% - Accent1 3 2 5" xfId="1703"/>
    <cellStyle name="40% - Accent1 3 2 6" xfId="2157"/>
    <cellStyle name="40% - Accent1 3 2 7" xfId="2610"/>
    <cellStyle name="40% - Accent1 3 2 8" xfId="1195"/>
    <cellStyle name="40% - Accent1 3 3" xfId="51"/>
    <cellStyle name="40% - Accent1 3 3 2" xfId="1383"/>
    <cellStyle name="40% - Accent1 3 3 2 2" xfId="1618"/>
    <cellStyle name="40% - Accent1 3 3 2 2 2" xfId="2073"/>
    <cellStyle name="40% - Accent1 3 3 2 2 3" xfId="2526"/>
    <cellStyle name="40% - Accent1 3 3 2 2 4" xfId="2979"/>
    <cellStyle name="40% - Accent1 3 3 2 3" xfId="1846"/>
    <cellStyle name="40% - Accent1 3 3 2 4" xfId="2300"/>
    <cellStyle name="40% - Accent1 3 3 2 5" xfId="2753"/>
    <cellStyle name="40% - Accent1 3 3 3" xfId="1505"/>
    <cellStyle name="40% - Accent1 3 3 3 2" xfId="1960"/>
    <cellStyle name="40% - Accent1 3 3 3 3" xfId="2413"/>
    <cellStyle name="40% - Accent1 3 3 3 4" xfId="2866"/>
    <cellStyle name="40% - Accent1 3 3 4" xfId="1733"/>
    <cellStyle name="40% - Accent1 3 3 5" xfId="2187"/>
    <cellStyle name="40% - Accent1 3 3 6" xfId="2640"/>
    <cellStyle name="40% - Accent1 3 3 7" xfId="1225"/>
    <cellStyle name="40% - Accent1 3 4" xfId="1057"/>
    <cellStyle name="40% - Accent1 3 4 2" xfId="1559"/>
    <cellStyle name="40% - Accent1 3 4 2 2" xfId="2014"/>
    <cellStyle name="40% - Accent1 3 4 2 3" xfId="2467"/>
    <cellStyle name="40% - Accent1 3 4 2 4" xfId="2920"/>
    <cellStyle name="40% - Accent1 3 4 3" xfId="1787"/>
    <cellStyle name="40% - Accent1 3 4 4" xfId="2241"/>
    <cellStyle name="40% - Accent1 3 4 5" xfId="2694"/>
    <cellStyle name="40% - Accent1 3 4 6" xfId="1324"/>
    <cellStyle name="40% - Accent1 3 5" xfId="1446"/>
    <cellStyle name="40% - Accent1 3 5 2" xfId="1901"/>
    <cellStyle name="40% - Accent1 3 5 3" xfId="2354"/>
    <cellStyle name="40% - Accent1 3 5 4" xfId="2807"/>
    <cellStyle name="40% - Accent1 3 6" xfId="1674"/>
    <cellStyle name="40% - Accent1 3 7" xfId="2128"/>
    <cellStyle name="40% - Accent1 3 8" xfId="2581"/>
    <cellStyle name="40% - Accent1 3 9" xfId="1166"/>
    <cellStyle name="40% - Accent1 4" xfId="52"/>
    <cellStyle name="40% - Accent1 4 2" xfId="53"/>
    <cellStyle name="40% - Accent1 4 2 2" xfId="749"/>
    <cellStyle name="40% - Accent1 4 3" xfId="718"/>
    <cellStyle name="40% - Accent1 5" xfId="1276"/>
    <cellStyle name="40% - Accent2 2" xfId="54"/>
    <cellStyle name="40% - Accent2 2 2" xfId="55"/>
    <cellStyle name="40% - Accent2 2 2 2" xfId="56"/>
    <cellStyle name="40% - Accent2 2 2 2 2" xfId="831"/>
    <cellStyle name="40% - Accent2 2 3" xfId="57"/>
    <cellStyle name="40% - Accent2 2 3 2" xfId="764"/>
    <cellStyle name="40% - Accent2 2 4" xfId="58"/>
    <cellStyle name="40% - Accent2 2 4 2" xfId="787"/>
    <cellStyle name="40% - Accent2 3" xfId="59"/>
    <cellStyle name="40% - Accent2 3 2" xfId="60"/>
    <cellStyle name="40% - Accent2 3 2 2" xfId="61"/>
    <cellStyle name="40% - Accent2 3 2 2 2" xfId="1411"/>
    <cellStyle name="40% - Accent2 3 2 2 2 2" xfId="1646"/>
    <cellStyle name="40% - Accent2 3 2 2 2 2 2" xfId="2101"/>
    <cellStyle name="40% - Accent2 3 2 2 2 2 3" xfId="2554"/>
    <cellStyle name="40% - Accent2 3 2 2 2 2 4" xfId="3007"/>
    <cellStyle name="40% - Accent2 3 2 2 2 3" xfId="1874"/>
    <cellStyle name="40% - Accent2 3 2 2 2 4" xfId="2328"/>
    <cellStyle name="40% - Accent2 3 2 2 2 5" xfId="2781"/>
    <cellStyle name="40% - Accent2 3 2 2 3" xfId="1533"/>
    <cellStyle name="40% - Accent2 3 2 2 3 2" xfId="1988"/>
    <cellStyle name="40% - Accent2 3 2 2 3 3" xfId="2441"/>
    <cellStyle name="40% - Accent2 3 2 2 3 4" xfId="2894"/>
    <cellStyle name="40% - Accent2 3 2 2 4" xfId="1761"/>
    <cellStyle name="40% - Accent2 3 2 2 5" xfId="2215"/>
    <cellStyle name="40% - Accent2 3 2 2 6" xfId="2668"/>
    <cellStyle name="40% - Accent2 3 2 2 7" xfId="1253"/>
    <cellStyle name="40% - Accent2 3 2 3" xfId="1094"/>
    <cellStyle name="40% - Accent2 3 2 3 2" xfId="1589"/>
    <cellStyle name="40% - Accent2 3 2 3 2 2" xfId="2044"/>
    <cellStyle name="40% - Accent2 3 2 3 2 3" xfId="2497"/>
    <cellStyle name="40% - Accent2 3 2 3 2 4" xfId="2950"/>
    <cellStyle name="40% - Accent2 3 2 3 3" xfId="1817"/>
    <cellStyle name="40% - Accent2 3 2 3 4" xfId="2271"/>
    <cellStyle name="40% - Accent2 3 2 3 5" xfId="2724"/>
    <cellStyle name="40% - Accent2 3 2 3 6" xfId="1354"/>
    <cellStyle name="40% - Accent2 3 2 4" xfId="1476"/>
    <cellStyle name="40% - Accent2 3 2 4 2" xfId="1931"/>
    <cellStyle name="40% - Accent2 3 2 4 3" xfId="2384"/>
    <cellStyle name="40% - Accent2 3 2 4 4" xfId="2837"/>
    <cellStyle name="40% - Accent2 3 2 5" xfId="1704"/>
    <cellStyle name="40% - Accent2 3 2 6" xfId="2158"/>
    <cellStyle name="40% - Accent2 3 2 7" xfId="2611"/>
    <cellStyle name="40% - Accent2 3 2 8" xfId="1196"/>
    <cellStyle name="40% - Accent2 3 3" xfId="62"/>
    <cellStyle name="40% - Accent2 3 3 2" xfId="1384"/>
    <cellStyle name="40% - Accent2 3 3 2 2" xfId="1619"/>
    <cellStyle name="40% - Accent2 3 3 2 2 2" xfId="2074"/>
    <cellStyle name="40% - Accent2 3 3 2 2 3" xfId="2527"/>
    <cellStyle name="40% - Accent2 3 3 2 2 4" xfId="2980"/>
    <cellStyle name="40% - Accent2 3 3 2 3" xfId="1847"/>
    <cellStyle name="40% - Accent2 3 3 2 4" xfId="2301"/>
    <cellStyle name="40% - Accent2 3 3 2 5" xfId="2754"/>
    <cellStyle name="40% - Accent2 3 3 3" xfId="1506"/>
    <cellStyle name="40% - Accent2 3 3 3 2" xfId="1961"/>
    <cellStyle name="40% - Accent2 3 3 3 3" xfId="2414"/>
    <cellStyle name="40% - Accent2 3 3 3 4" xfId="2867"/>
    <cellStyle name="40% - Accent2 3 3 4" xfId="1734"/>
    <cellStyle name="40% - Accent2 3 3 5" xfId="2188"/>
    <cellStyle name="40% - Accent2 3 3 6" xfId="2641"/>
    <cellStyle name="40% - Accent2 3 3 7" xfId="1226"/>
    <cellStyle name="40% - Accent2 3 4" xfId="1058"/>
    <cellStyle name="40% - Accent2 3 4 2" xfId="1560"/>
    <cellStyle name="40% - Accent2 3 4 2 2" xfId="2015"/>
    <cellStyle name="40% - Accent2 3 4 2 3" xfId="2468"/>
    <cellStyle name="40% - Accent2 3 4 2 4" xfId="2921"/>
    <cellStyle name="40% - Accent2 3 4 3" xfId="1788"/>
    <cellStyle name="40% - Accent2 3 4 4" xfId="2242"/>
    <cellStyle name="40% - Accent2 3 4 5" xfId="2695"/>
    <cellStyle name="40% - Accent2 3 4 6" xfId="1325"/>
    <cellStyle name="40% - Accent2 3 5" xfId="1447"/>
    <cellStyle name="40% - Accent2 3 5 2" xfId="1902"/>
    <cellStyle name="40% - Accent2 3 5 3" xfId="2355"/>
    <cellStyle name="40% - Accent2 3 5 4" xfId="2808"/>
    <cellStyle name="40% - Accent2 3 6" xfId="1675"/>
    <cellStyle name="40% - Accent2 3 7" xfId="2129"/>
    <cellStyle name="40% - Accent2 3 8" xfId="2582"/>
    <cellStyle name="40% - Accent2 3 9" xfId="1167"/>
    <cellStyle name="40% - Accent2 4" xfId="63"/>
    <cellStyle name="40% - Accent2 4 2" xfId="64"/>
    <cellStyle name="40% - Accent2 4 2 2" xfId="750"/>
    <cellStyle name="40% - Accent2 4 3" xfId="719"/>
    <cellStyle name="40% - Accent3 2" xfId="65"/>
    <cellStyle name="40% - Accent3 2 2" xfId="66"/>
    <cellStyle name="40% - Accent3 2 2 2" xfId="67"/>
    <cellStyle name="40% - Accent3 2 2 2 2" xfId="986"/>
    <cellStyle name="40% - Accent3 2 2 2 3" xfId="832"/>
    <cellStyle name="40% - Accent3 2 2 3" xfId="985"/>
    <cellStyle name="40% - Accent3 2 2 4" xfId="731"/>
    <cellStyle name="40% - Accent3 2 3" xfId="68"/>
    <cellStyle name="40% - Accent3 2 3 2" xfId="765"/>
    <cellStyle name="40% - Accent3 2 4" xfId="69"/>
    <cellStyle name="40% - Accent3 2 4 2" xfId="987"/>
    <cellStyle name="40% - Accent3 2 4 3" xfId="786"/>
    <cellStyle name="40% - Accent3 2 5" xfId="984"/>
    <cellStyle name="40% - Accent3 2 6" xfId="696"/>
    <cellStyle name="40% - Accent3 3" xfId="70"/>
    <cellStyle name="40% - Accent3 3 2" xfId="71"/>
    <cellStyle name="40% - Accent3 3 2 2" xfId="72"/>
    <cellStyle name="40% - Accent3 3 2 2 2" xfId="990"/>
    <cellStyle name="40% - Accent3 3 2 2 2 2" xfId="1647"/>
    <cellStyle name="40% - Accent3 3 2 2 2 2 2" xfId="2102"/>
    <cellStyle name="40% - Accent3 3 2 2 2 2 3" xfId="2555"/>
    <cellStyle name="40% - Accent3 3 2 2 2 2 4" xfId="3008"/>
    <cellStyle name="40% - Accent3 3 2 2 2 3" xfId="1875"/>
    <cellStyle name="40% - Accent3 3 2 2 2 4" xfId="2329"/>
    <cellStyle name="40% - Accent3 3 2 2 2 5" xfId="2782"/>
    <cellStyle name="40% - Accent3 3 2 2 2 6" xfId="1412"/>
    <cellStyle name="40% - Accent3 3 2 2 3" xfId="833"/>
    <cellStyle name="40% - Accent3 3 2 2 3 2" xfId="1989"/>
    <cellStyle name="40% - Accent3 3 2 2 3 3" xfId="2442"/>
    <cellStyle name="40% - Accent3 3 2 2 3 4" xfId="2895"/>
    <cellStyle name="40% - Accent3 3 2 2 3 5" xfId="1534"/>
    <cellStyle name="40% - Accent3 3 2 2 4" xfId="1762"/>
    <cellStyle name="40% - Accent3 3 2 2 5" xfId="2216"/>
    <cellStyle name="40% - Accent3 3 2 2 6" xfId="2669"/>
    <cellStyle name="40% - Accent3 3 2 2 7" xfId="1254"/>
    <cellStyle name="40% - Accent3 3 2 3" xfId="989"/>
    <cellStyle name="40% - Accent3 3 2 3 2" xfId="1590"/>
    <cellStyle name="40% - Accent3 3 2 3 2 2" xfId="2045"/>
    <cellStyle name="40% - Accent3 3 2 3 2 3" xfId="2498"/>
    <cellStyle name="40% - Accent3 3 2 3 2 4" xfId="2951"/>
    <cellStyle name="40% - Accent3 3 2 3 3" xfId="1818"/>
    <cellStyle name="40% - Accent3 3 2 3 4" xfId="2272"/>
    <cellStyle name="40% - Accent3 3 2 3 5" xfId="2725"/>
    <cellStyle name="40% - Accent3 3 2 3 6" xfId="1355"/>
    <cellStyle name="40% - Accent3 3 2 4" xfId="1095"/>
    <cellStyle name="40% - Accent3 3 2 4 2" xfId="1932"/>
    <cellStyle name="40% - Accent3 3 2 4 3" xfId="2385"/>
    <cellStyle name="40% - Accent3 3 2 4 4" xfId="2838"/>
    <cellStyle name="40% - Accent3 3 2 4 5" xfId="1477"/>
    <cellStyle name="40% - Accent3 3 2 5" xfId="736"/>
    <cellStyle name="40% - Accent3 3 2 5 2" xfId="1705"/>
    <cellStyle name="40% - Accent3 3 2 6" xfId="2159"/>
    <cellStyle name="40% - Accent3 3 2 7" xfId="2612"/>
    <cellStyle name="40% - Accent3 3 2 8" xfId="1197"/>
    <cellStyle name="40% - Accent3 3 3" xfId="73"/>
    <cellStyle name="40% - Accent3 3 3 2" xfId="991"/>
    <cellStyle name="40% - Accent3 3 3 2 2" xfId="1620"/>
    <cellStyle name="40% - Accent3 3 3 2 2 2" xfId="2075"/>
    <cellStyle name="40% - Accent3 3 3 2 2 3" xfId="2528"/>
    <cellStyle name="40% - Accent3 3 3 2 2 4" xfId="2981"/>
    <cellStyle name="40% - Accent3 3 3 2 3" xfId="1848"/>
    <cellStyle name="40% - Accent3 3 3 2 4" xfId="2302"/>
    <cellStyle name="40% - Accent3 3 3 2 5" xfId="2755"/>
    <cellStyle name="40% - Accent3 3 3 2 6" xfId="1385"/>
    <cellStyle name="40% - Accent3 3 3 3" xfId="777"/>
    <cellStyle name="40% - Accent3 3 3 3 2" xfId="1962"/>
    <cellStyle name="40% - Accent3 3 3 3 3" xfId="2415"/>
    <cellStyle name="40% - Accent3 3 3 3 4" xfId="2868"/>
    <cellStyle name="40% - Accent3 3 3 3 5" xfId="1507"/>
    <cellStyle name="40% - Accent3 3 3 4" xfId="1735"/>
    <cellStyle name="40% - Accent3 3 3 5" xfId="2189"/>
    <cellStyle name="40% - Accent3 3 3 6" xfId="2642"/>
    <cellStyle name="40% - Accent3 3 3 7" xfId="1227"/>
    <cellStyle name="40% - Accent3 3 4" xfId="988"/>
    <cellStyle name="40% - Accent3 3 4 2" xfId="1561"/>
    <cellStyle name="40% - Accent3 3 4 2 2" xfId="2016"/>
    <cellStyle name="40% - Accent3 3 4 2 3" xfId="2469"/>
    <cellStyle name="40% - Accent3 3 4 2 4" xfId="2922"/>
    <cellStyle name="40% - Accent3 3 4 3" xfId="1789"/>
    <cellStyle name="40% - Accent3 3 4 4" xfId="2243"/>
    <cellStyle name="40% - Accent3 3 4 5" xfId="2696"/>
    <cellStyle name="40% - Accent3 3 4 6" xfId="1326"/>
    <cellStyle name="40% - Accent3 3 5" xfId="1059"/>
    <cellStyle name="40% - Accent3 3 5 2" xfId="1903"/>
    <cellStyle name="40% - Accent3 3 5 3" xfId="2356"/>
    <cellStyle name="40% - Accent3 3 5 4" xfId="2809"/>
    <cellStyle name="40% - Accent3 3 5 5" xfId="1448"/>
    <cellStyle name="40% - Accent3 3 6" xfId="701"/>
    <cellStyle name="40% - Accent3 3 6 2" xfId="1676"/>
    <cellStyle name="40% - Accent3 3 7" xfId="2130"/>
    <cellStyle name="40% - Accent3 3 8" xfId="2583"/>
    <cellStyle name="40% - Accent3 3 9" xfId="1168"/>
    <cellStyle name="40% - Accent3 4" xfId="74"/>
    <cellStyle name="40% - Accent3 4 2" xfId="75"/>
    <cellStyle name="40% - Accent3 4 2 2" xfId="751"/>
    <cellStyle name="40% - Accent3 4 3" xfId="720"/>
    <cellStyle name="40% - Accent3 5" xfId="1277"/>
    <cellStyle name="40% - Accent4 2" xfId="76"/>
    <cellStyle name="40% - Accent4 2 10" xfId="1169"/>
    <cellStyle name="40% - Accent4 2 2" xfId="77"/>
    <cellStyle name="40% - Accent4 2 2 2" xfId="78"/>
    <cellStyle name="40% - Accent4 2 2 2 2" xfId="1413"/>
    <cellStyle name="40% - Accent4 2 2 2 2 2" xfId="1648"/>
    <cellStyle name="40% - Accent4 2 2 2 2 2 2" xfId="2103"/>
    <cellStyle name="40% - Accent4 2 2 2 2 2 3" xfId="2556"/>
    <cellStyle name="40% - Accent4 2 2 2 2 2 4" xfId="3009"/>
    <cellStyle name="40% - Accent4 2 2 2 2 3" xfId="1876"/>
    <cellStyle name="40% - Accent4 2 2 2 2 4" xfId="2330"/>
    <cellStyle name="40% - Accent4 2 2 2 2 5" xfId="2783"/>
    <cellStyle name="40% - Accent4 2 2 2 3" xfId="1535"/>
    <cellStyle name="40% - Accent4 2 2 2 3 2" xfId="1990"/>
    <cellStyle name="40% - Accent4 2 2 2 3 3" xfId="2443"/>
    <cellStyle name="40% - Accent4 2 2 2 3 4" xfId="2896"/>
    <cellStyle name="40% - Accent4 2 2 2 4" xfId="1763"/>
    <cellStyle name="40% - Accent4 2 2 2 5" xfId="2217"/>
    <cellStyle name="40% - Accent4 2 2 2 6" xfId="2670"/>
    <cellStyle name="40% - Accent4 2 2 2 7" xfId="1255"/>
    <cellStyle name="40% - Accent4 2 2 3" xfId="1096"/>
    <cellStyle name="40% - Accent4 2 2 3 2" xfId="1591"/>
    <cellStyle name="40% - Accent4 2 2 3 2 2" xfId="2046"/>
    <cellStyle name="40% - Accent4 2 2 3 2 3" xfId="2499"/>
    <cellStyle name="40% - Accent4 2 2 3 2 4" xfId="2952"/>
    <cellStyle name="40% - Accent4 2 2 3 3" xfId="1819"/>
    <cellStyle name="40% - Accent4 2 2 3 4" xfId="2273"/>
    <cellStyle name="40% - Accent4 2 2 3 5" xfId="2726"/>
    <cellStyle name="40% - Accent4 2 2 3 6" xfId="1356"/>
    <cellStyle name="40% - Accent4 2 2 4" xfId="1478"/>
    <cellStyle name="40% - Accent4 2 2 4 2" xfId="1933"/>
    <cellStyle name="40% - Accent4 2 2 4 3" xfId="2386"/>
    <cellStyle name="40% - Accent4 2 2 4 4" xfId="2839"/>
    <cellStyle name="40% - Accent4 2 2 5" xfId="1706"/>
    <cellStyle name="40% - Accent4 2 2 6" xfId="2160"/>
    <cellStyle name="40% - Accent4 2 2 7" xfId="2613"/>
    <cellStyle name="40% - Accent4 2 2 8" xfId="1198"/>
    <cellStyle name="40% - Accent4 2 3" xfId="79"/>
    <cellStyle name="40% - Accent4 2 3 2" xfId="766"/>
    <cellStyle name="40% - Accent4 2 4" xfId="80"/>
    <cellStyle name="40% - Accent4 2 4 2" xfId="1386"/>
    <cellStyle name="40% - Accent4 2 4 2 2" xfId="1621"/>
    <cellStyle name="40% - Accent4 2 4 2 2 2" xfId="2076"/>
    <cellStyle name="40% - Accent4 2 4 2 2 3" xfId="2529"/>
    <cellStyle name="40% - Accent4 2 4 2 2 4" xfId="2982"/>
    <cellStyle name="40% - Accent4 2 4 2 3" xfId="1849"/>
    <cellStyle name="40% - Accent4 2 4 2 4" xfId="2303"/>
    <cellStyle name="40% - Accent4 2 4 2 5" xfId="2756"/>
    <cellStyle name="40% - Accent4 2 4 3" xfId="1508"/>
    <cellStyle name="40% - Accent4 2 4 3 2" xfId="1963"/>
    <cellStyle name="40% - Accent4 2 4 3 3" xfId="2416"/>
    <cellStyle name="40% - Accent4 2 4 3 4" xfId="2869"/>
    <cellStyle name="40% - Accent4 2 4 4" xfId="1736"/>
    <cellStyle name="40% - Accent4 2 4 5" xfId="2190"/>
    <cellStyle name="40% - Accent4 2 4 6" xfId="2643"/>
    <cellStyle name="40% - Accent4 2 4 7" xfId="1228"/>
    <cellStyle name="40% - Accent4 2 5" xfId="1060"/>
    <cellStyle name="40% - Accent4 2 5 2" xfId="1562"/>
    <cellStyle name="40% - Accent4 2 5 2 2" xfId="2017"/>
    <cellStyle name="40% - Accent4 2 5 2 3" xfId="2470"/>
    <cellStyle name="40% - Accent4 2 5 2 4" xfId="2923"/>
    <cellStyle name="40% - Accent4 2 5 3" xfId="1790"/>
    <cellStyle name="40% - Accent4 2 5 4" xfId="2244"/>
    <cellStyle name="40% - Accent4 2 5 5" xfId="2697"/>
    <cellStyle name="40% - Accent4 2 5 6" xfId="1327"/>
    <cellStyle name="40% - Accent4 2 6" xfId="1449"/>
    <cellStyle name="40% - Accent4 2 6 2" xfId="1904"/>
    <cellStyle name="40% - Accent4 2 6 3" xfId="2357"/>
    <cellStyle name="40% - Accent4 2 6 4" xfId="2810"/>
    <cellStyle name="40% - Accent4 2 7" xfId="1677"/>
    <cellStyle name="40% - Accent4 2 8" xfId="2131"/>
    <cellStyle name="40% - Accent4 2 9" xfId="2584"/>
    <cellStyle name="40% - Accent4 3" xfId="81"/>
    <cellStyle name="40% - Accent4 3 2" xfId="82"/>
    <cellStyle name="40% - Accent4 3 2 2" xfId="752"/>
    <cellStyle name="40% - Accent4 3 3" xfId="721"/>
    <cellStyle name="40% - Accent4 4" xfId="1278"/>
    <cellStyle name="40% - Accent5 2" xfId="83"/>
    <cellStyle name="40% - Accent5 2 10" xfId="1170"/>
    <cellStyle name="40% - Accent5 2 2" xfId="84"/>
    <cellStyle name="40% - Accent5 2 2 2" xfId="85"/>
    <cellStyle name="40% - Accent5 2 2 2 2" xfId="1414"/>
    <cellStyle name="40% - Accent5 2 2 2 2 2" xfId="1649"/>
    <cellStyle name="40% - Accent5 2 2 2 2 2 2" xfId="2104"/>
    <cellStyle name="40% - Accent5 2 2 2 2 2 3" xfId="2557"/>
    <cellStyle name="40% - Accent5 2 2 2 2 2 4" xfId="3010"/>
    <cellStyle name="40% - Accent5 2 2 2 2 3" xfId="1877"/>
    <cellStyle name="40% - Accent5 2 2 2 2 4" xfId="2331"/>
    <cellStyle name="40% - Accent5 2 2 2 2 5" xfId="2784"/>
    <cellStyle name="40% - Accent5 2 2 2 3" xfId="1536"/>
    <cellStyle name="40% - Accent5 2 2 2 3 2" xfId="1991"/>
    <cellStyle name="40% - Accent5 2 2 2 3 3" xfId="2444"/>
    <cellStyle name="40% - Accent5 2 2 2 3 4" xfId="2897"/>
    <cellStyle name="40% - Accent5 2 2 2 4" xfId="1764"/>
    <cellStyle name="40% - Accent5 2 2 2 5" xfId="2218"/>
    <cellStyle name="40% - Accent5 2 2 2 6" xfId="2671"/>
    <cellStyle name="40% - Accent5 2 2 2 7" xfId="1256"/>
    <cellStyle name="40% - Accent5 2 2 3" xfId="1097"/>
    <cellStyle name="40% - Accent5 2 2 3 2" xfId="1592"/>
    <cellStyle name="40% - Accent5 2 2 3 2 2" xfId="2047"/>
    <cellStyle name="40% - Accent5 2 2 3 2 3" xfId="2500"/>
    <cellStyle name="40% - Accent5 2 2 3 2 4" xfId="2953"/>
    <cellStyle name="40% - Accent5 2 2 3 3" xfId="1820"/>
    <cellStyle name="40% - Accent5 2 2 3 4" xfId="2274"/>
    <cellStyle name="40% - Accent5 2 2 3 5" xfId="2727"/>
    <cellStyle name="40% - Accent5 2 2 3 6" xfId="1357"/>
    <cellStyle name="40% - Accent5 2 2 4" xfId="1479"/>
    <cellStyle name="40% - Accent5 2 2 4 2" xfId="1934"/>
    <cellStyle name="40% - Accent5 2 2 4 3" xfId="2387"/>
    <cellStyle name="40% - Accent5 2 2 4 4" xfId="2840"/>
    <cellStyle name="40% - Accent5 2 2 5" xfId="1707"/>
    <cellStyle name="40% - Accent5 2 2 6" xfId="2161"/>
    <cellStyle name="40% - Accent5 2 2 7" xfId="2614"/>
    <cellStyle name="40% - Accent5 2 2 8" xfId="1199"/>
    <cellStyle name="40% - Accent5 2 3" xfId="86"/>
    <cellStyle name="40% - Accent5 2 3 2" xfId="767"/>
    <cellStyle name="40% - Accent5 2 4" xfId="87"/>
    <cellStyle name="40% - Accent5 2 4 2" xfId="1387"/>
    <cellStyle name="40% - Accent5 2 4 2 2" xfId="1622"/>
    <cellStyle name="40% - Accent5 2 4 2 2 2" xfId="2077"/>
    <cellStyle name="40% - Accent5 2 4 2 2 3" xfId="2530"/>
    <cellStyle name="40% - Accent5 2 4 2 2 4" xfId="2983"/>
    <cellStyle name="40% - Accent5 2 4 2 3" xfId="1850"/>
    <cellStyle name="40% - Accent5 2 4 2 4" xfId="2304"/>
    <cellStyle name="40% - Accent5 2 4 2 5" xfId="2757"/>
    <cellStyle name="40% - Accent5 2 4 3" xfId="1509"/>
    <cellStyle name="40% - Accent5 2 4 3 2" xfId="1964"/>
    <cellStyle name="40% - Accent5 2 4 3 3" xfId="2417"/>
    <cellStyle name="40% - Accent5 2 4 3 4" xfId="2870"/>
    <cellStyle name="40% - Accent5 2 4 4" xfId="1737"/>
    <cellStyle name="40% - Accent5 2 4 5" xfId="2191"/>
    <cellStyle name="40% - Accent5 2 4 6" xfId="2644"/>
    <cellStyle name="40% - Accent5 2 4 7" xfId="1229"/>
    <cellStyle name="40% - Accent5 2 5" xfId="1061"/>
    <cellStyle name="40% - Accent5 2 5 2" xfId="1563"/>
    <cellStyle name="40% - Accent5 2 5 2 2" xfId="2018"/>
    <cellStyle name="40% - Accent5 2 5 2 3" xfId="2471"/>
    <cellStyle name="40% - Accent5 2 5 2 4" xfId="2924"/>
    <cellStyle name="40% - Accent5 2 5 3" xfId="1791"/>
    <cellStyle name="40% - Accent5 2 5 4" xfId="2245"/>
    <cellStyle name="40% - Accent5 2 5 5" xfId="2698"/>
    <cellStyle name="40% - Accent5 2 5 6" xfId="1328"/>
    <cellStyle name="40% - Accent5 2 6" xfId="1450"/>
    <cellStyle name="40% - Accent5 2 6 2" xfId="1905"/>
    <cellStyle name="40% - Accent5 2 6 3" xfId="2358"/>
    <cellStyle name="40% - Accent5 2 6 4" xfId="2811"/>
    <cellStyle name="40% - Accent5 2 7" xfId="1678"/>
    <cellStyle name="40% - Accent5 2 8" xfId="2132"/>
    <cellStyle name="40% - Accent5 2 9" xfId="2585"/>
    <cellStyle name="40% - Accent5 3" xfId="88"/>
    <cellStyle name="40% - Accent5 3 2" xfId="89"/>
    <cellStyle name="40% - Accent5 3 2 2" xfId="753"/>
    <cellStyle name="40% - Accent5 3 3" xfId="722"/>
    <cellStyle name="40% - Accent6 2" xfId="90"/>
    <cellStyle name="40% - Accent6 2 10" xfId="1171"/>
    <cellStyle name="40% - Accent6 2 2" xfId="91"/>
    <cellStyle name="40% - Accent6 2 2 2" xfId="92"/>
    <cellStyle name="40% - Accent6 2 2 2 2" xfId="1415"/>
    <cellStyle name="40% - Accent6 2 2 2 2 2" xfId="1650"/>
    <cellStyle name="40% - Accent6 2 2 2 2 2 2" xfId="2105"/>
    <cellStyle name="40% - Accent6 2 2 2 2 2 3" xfId="2558"/>
    <cellStyle name="40% - Accent6 2 2 2 2 2 4" xfId="3011"/>
    <cellStyle name="40% - Accent6 2 2 2 2 3" xfId="1878"/>
    <cellStyle name="40% - Accent6 2 2 2 2 4" xfId="2332"/>
    <cellStyle name="40% - Accent6 2 2 2 2 5" xfId="2785"/>
    <cellStyle name="40% - Accent6 2 2 2 3" xfId="1537"/>
    <cellStyle name="40% - Accent6 2 2 2 3 2" xfId="1992"/>
    <cellStyle name="40% - Accent6 2 2 2 3 3" xfId="2445"/>
    <cellStyle name="40% - Accent6 2 2 2 3 4" xfId="2898"/>
    <cellStyle name="40% - Accent6 2 2 2 4" xfId="1765"/>
    <cellStyle name="40% - Accent6 2 2 2 5" xfId="2219"/>
    <cellStyle name="40% - Accent6 2 2 2 6" xfId="2672"/>
    <cellStyle name="40% - Accent6 2 2 2 7" xfId="1257"/>
    <cellStyle name="40% - Accent6 2 2 3" xfId="1098"/>
    <cellStyle name="40% - Accent6 2 2 3 2" xfId="1593"/>
    <cellStyle name="40% - Accent6 2 2 3 2 2" xfId="2048"/>
    <cellStyle name="40% - Accent6 2 2 3 2 3" xfId="2501"/>
    <cellStyle name="40% - Accent6 2 2 3 2 4" xfId="2954"/>
    <cellStyle name="40% - Accent6 2 2 3 3" xfId="1821"/>
    <cellStyle name="40% - Accent6 2 2 3 4" xfId="2275"/>
    <cellStyle name="40% - Accent6 2 2 3 5" xfId="2728"/>
    <cellStyle name="40% - Accent6 2 2 3 6" xfId="1358"/>
    <cellStyle name="40% - Accent6 2 2 4" xfId="1480"/>
    <cellStyle name="40% - Accent6 2 2 4 2" xfId="1935"/>
    <cellStyle name="40% - Accent6 2 2 4 3" xfId="2388"/>
    <cellStyle name="40% - Accent6 2 2 4 4" xfId="2841"/>
    <cellStyle name="40% - Accent6 2 2 5" xfId="1708"/>
    <cellStyle name="40% - Accent6 2 2 6" xfId="2162"/>
    <cellStyle name="40% - Accent6 2 2 7" xfId="2615"/>
    <cellStyle name="40% - Accent6 2 2 8" xfId="1200"/>
    <cellStyle name="40% - Accent6 2 3" xfId="93"/>
    <cellStyle name="40% - Accent6 2 3 2" xfId="768"/>
    <cellStyle name="40% - Accent6 2 4" xfId="94"/>
    <cellStyle name="40% - Accent6 2 4 2" xfId="1388"/>
    <cellStyle name="40% - Accent6 2 4 2 2" xfId="1623"/>
    <cellStyle name="40% - Accent6 2 4 2 2 2" xfId="2078"/>
    <cellStyle name="40% - Accent6 2 4 2 2 3" xfId="2531"/>
    <cellStyle name="40% - Accent6 2 4 2 2 4" xfId="2984"/>
    <cellStyle name="40% - Accent6 2 4 2 3" xfId="1851"/>
    <cellStyle name="40% - Accent6 2 4 2 4" xfId="2305"/>
    <cellStyle name="40% - Accent6 2 4 2 5" xfId="2758"/>
    <cellStyle name="40% - Accent6 2 4 3" xfId="1510"/>
    <cellStyle name="40% - Accent6 2 4 3 2" xfId="1965"/>
    <cellStyle name="40% - Accent6 2 4 3 3" xfId="2418"/>
    <cellStyle name="40% - Accent6 2 4 3 4" xfId="2871"/>
    <cellStyle name="40% - Accent6 2 4 4" xfId="1738"/>
    <cellStyle name="40% - Accent6 2 4 5" xfId="2192"/>
    <cellStyle name="40% - Accent6 2 4 6" xfId="2645"/>
    <cellStyle name="40% - Accent6 2 4 7" xfId="1230"/>
    <cellStyle name="40% - Accent6 2 5" xfId="1062"/>
    <cellStyle name="40% - Accent6 2 5 2" xfId="1564"/>
    <cellStyle name="40% - Accent6 2 5 2 2" xfId="2019"/>
    <cellStyle name="40% - Accent6 2 5 2 3" xfId="2472"/>
    <cellStyle name="40% - Accent6 2 5 2 4" xfId="2925"/>
    <cellStyle name="40% - Accent6 2 5 3" xfId="1792"/>
    <cellStyle name="40% - Accent6 2 5 4" xfId="2246"/>
    <cellStyle name="40% - Accent6 2 5 5" xfId="2699"/>
    <cellStyle name="40% - Accent6 2 5 6" xfId="1329"/>
    <cellStyle name="40% - Accent6 2 6" xfId="1451"/>
    <cellStyle name="40% - Accent6 2 6 2" xfId="1906"/>
    <cellStyle name="40% - Accent6 2 6 3" xfId="2359"/>
    <cellStyle name="40% - Accent6 2 6 4" xfId="2812"/>
    <cellStyle name="40% - Accent6 2 7" xfId="1679"/>
    <cellStyle name="40% - Accent6 2 8" xfId="2133"/>
    <cellStyle name="40% - Accent6 2 9" xfId="2586"/>
    <cellStyle name="40% - Accent6 3" xfId="95"/>
    <cellStyle name="40% - Accent6 3 2" xfId="96"/>
    <cellStyle name="40% - Accent6 3 2 2" xfId="754"/>
    <cellStyle name="40% - Accent6 3 3" xfId="723"/>
    <cellStyle name="40% - Accent6 4" xfId="1279"/>
    <cellStyle name="60% - Accent1 2" xfId="97"/>
    <cellStyle name="60% - Accent1 2 2" xfId="98"/>
    <cellStyle name="60% - Accent1 2 3" xfId="99"/>
    <cellStyle name="60% - Accent1 3" xfId="100"/>
    <cellStyle name="60% - Accent1 3 2" xfId="101"/>
    <cellStyle name="60% - Accent1 4" xfId="1280"/>
    <cellStyle name="60% - Accent2 2" xfId="102"/>
    <cellStyle name="60% - Accent2 2 2" xfId="103"/>
    <cellStyle name="60% - Accent2 2 3" xfId="104"/>
    <cellStyle name="60% - Accent2 3" xfId="105"/>
    <cellStyle name="60% - Accent2 3 2" xfId="106"/>
    <cellStyle name="60% - Accent3 2" xfId="107"/>
    <cellStyle name="60% - Accent3 2 2" xfId="108"/>
    <cellStyle name="60% - Accent3 2 2 2" xfId="993"/>
    <cellStyle name="60% - Accent3 2 2 3" xfId="737"/>
    <cellStyle name="60% - Accent3 2 3" xfId="109"/>
    <cellStyle name="60% - Accent3 2 4" xfId="992"/>
    <cellStyle name="60% - Accent3 2 5" xfId="702"/>
    <cellStyle name="60% - Accent3 3" xfId="110"/>
    <cellStyle name="60% - Accent3 3 2" xfId="111"/>
    <cellStyle name="60% - Accent4 2" xfId="112"/>
    <cellStyle name="60% - Accent4 2 2" xfId="113"/>
    <cellStyle name="60% - Accent4 2 2 2" xfId="995"/>
    <cellStyle name="60% - Accent4 2 2 3" xfId="738"/>
    <cellStyle name="60% - Accent4 2 3" xfId="114"/>
    <cellStyle name="60% - Accent4 2 4" xfId="994"/>
    <cellStyle name="60% - Accent4 2 5" xfId="703"/>
    <cellStyle name="60% - Accent4 3" xfId="115"/>
    <cellStyle name="60% - Accent4 3 2" xfId="116"/>
    <cellStyle name="60% - Accent4 4" xfId="1281"/>
    <cellStyle name="60% - Accent5 2" xfId="117"/>
    <cellStyle name="60% - Accent5 2 2" xfId="118"/>
    <cellStyle name="60% - Accent5 2 3" xfId="119"/>
    <cellStyle name="60% - Accent5 3" xfId="120"/>
    <cellStyle name="60% - Accent5 3 2" xfId="121"/>
    <cellStyle name="60% - Accent6 2" xfId="122"/>
    <cellStyle name="60% - Accent6 2 2" xfId="123"/>
    <cellStyle name="60% - Accent6 2 2 2" xfId="997"/>
    <cellStyle name="60% - Accent6 2 2 3" xfId="739"/>
    <cellStyle name="60% - Accent6 2 3" xfId="124"/>
    <cellStyle name="60% - Accent6 2 4" xfId="996"/>
    <cellStyle name="60% - Accent6 2 5" xfId="704"/>
    <cellStyle name="60% - Accent6 3" xfId="125"/>
    <cellStyle name="60% - Accent6 3 2" xfId="126"/>
    <cellStyle name="60% - Accent6 4" xfId="1282"/>
    <cellStyle name="Accent1 2" xfId="127"/>
    <cellStyle name="Accent1 2 2" xfId="128"/>
    <cellStyle name="Accent1 2 3" xfId="129"/>
    <cellStyle name="Accent1 3" xfId="130"/>
    <cellStyle name="Accent1 3 2" xfId="131"/>
    <cellStyle name="Accent1 4" xfId="1283"/>
    <cellStyle name="Accent2 2" xfId="132"/>
    <cellStyle name="Accent2 2 2" xfId="133"/>
    <cellStyle name="Accent2 2 3" xfId="134"/>
    <cellStyle name="Accent2 3" xfId="135"/>
    <cellStyle name="Accent2 3 2" xfId="136"/>
    <cellStyle name="Accent3 2" xfId="137"/>
    <cellStyle name="Accent3 2 2" xfId="138"/>
    <cellStyle name="Accent3 2 3" xfId="139"/>
    <cellStyle name="Accent3 3" xfId="140"/>
    <cellStyle name="Accent3 3 2" xfId="141"/>
    <cellStyle name="Accent3 4" xfId="1284"/>
    <cellStyle name="Accent4 2" xfId="142"/>
    <cellStyle name="Accent4 2 2" xfId="143"/>
    <cellStyle name="Accent4 2 3" xfId="144"/>
    <cellStyle name="Accent4 3" xfId="145"/>
    <cellStyle name="Accent4 3 2" xfId="146"/>
    <cellStyle name="Accent4 4" xfId="1285"/>
    <cellStyle name="Accent5 2" xfId="147"/>
    <cellStyle name="Accent5 2 2" xfId="148"/>
    <cellStyle name="Accent5 2 3" xfId="149"/>
    <cellStyle name="Accent5 3" xfId="150"/>
    <cellStyle name="Accent5 3 2" xfId="151"/>
    <cellStyle name="Accent6 2" xfId="152"/>
    <cellStyle name="Accent6 2 2" xfId="153"/>
    <cellStyle name="Accent6 2 3" xfId="154"/>
    <cellStyle name="Accent6 3" xfId="155"/>
    <cellStyle name="Accent6 3 2" xfId="156"/>
    <cellStyle name="Bad 2" xfId="157"/>
    <cellStyle name="Bad 2 2" xfId="158"/>
    <cellStyle name="Bad 2 2 2" xfId="159"/>
    <cellStyle name="Bad 2 3" xfId="160"/>
    <cellStyle name="Bad 2 3 2" xfId="161"/>
    <cellStyle name="Bad 2 4" xfId="162"/>
    <cellStyle name="Bad 2 4 2" xfId="163"/>
    <cellStyle name="Bad 2 4 3" xfId="164"/>
    <cellStyle name="Bad 2 5" xfId="165"/>
    <cellStyle name="Bad 3" xfId="166"/>
    <cellStyle name="Bad 3 2" xfId="167"/>
    <cellStyle name="Bad 3 2 2" xfId="168"/>
    <cellStyle name="Bad 3 2 3" xfId="169"/>
    <cellStyle name="Bad 3 3" xfId="170"/>
    <cellStyle name="Bad 4" xfId="171"/>
    <cellStyle name="Bad 4 2" xfId="172"/>
    <cellStyle name="Bad 5" xfId="173"/>
    <cellStyle name="Calculation 2" xfId="174"/>
    <cellStyle name="Calculation 2 2" xfId="175"/>
    <cellStyle name="Calculation 2 3" xfId="176"/>
    <cellStyle name="Calculation 2 3 2" xfId="1313"/>
    <cellStyle name="Calculation 3" xfId="177"/>
    <cellStyle name="Calculation 3 2" xfId="178"/>
    <cellStyle name="Calculation 3 2 2" xfId="1309"/>
    <cellStyle name="Calculation 3 3" xfId="1305"/>
    <cellStyle name="Calculation 4" xfId="1286"/>
    <cellStyle name="Calculation 4 2" xfId="1429"/>
    <cellStyle name="Calculation 5" xfId="1301"/>
    <cellStyle name="Campo da tabela dinâmica" xfId="1287"/>
    <cellStyle name="Canto da tabela dinâmica" xfId="1288"/>
    <cellStyle name="Categoria da tabela dinâmica" xfId="1289"/>
    <cellStyle name="Check Cell 2" xfId="179"/>
    <cellStyle name="Check Cell 2 2" xfId="180"/>
    <cellStyle name="Check Cell 2 3" xfId="181"/>
    <cellStyle name="Check Cell 2 3 2" xfId="182"/>
    <cellStyle name="Check Cell 2 3 2 2" xfId="183"/>
    <cellStyle name="Check Cell 2 3 2 2 2" xfId="950"/>
    <cellStyle name="Check Cell 2 3 2 2 2 2" xfId="1141"/>
    <cellStyle name="Check Cell 2 3 2 2 3" xfId="1000"/>
    <cellStyle name="Check Cell 2 3 2 2 4" xfId="893"/>
    <cellStyle name="Check Cell 2 3 2 3" xfId="184"/>
    <cellStyle name="Check Cell 2 3 2 3 2" xfId="952"/>
    <cellStyle name="Check Cell 2 3 2 3 2 2" xfId="1143"/>
    <cellStyle name="Check Cell 2 3 2 3 3" xfId="1001"/>
    <cellStyle name="Check Cell 2 3 2 3 4" xfId="895"/>
    <cellStyle name="Check Cell 2 3 2 4" xfId="185"/>
    <cellStyle name="Check Cell 2 3 2 4 2" xfId="955"/>
    <cellStyle name="Check Cell 2 3 2 4 2 2" xfId="1146"/>
    <cellStyle name="Check Cell 2 3 2 4 3" xfId="1002"/>
    <cellStyle name="Check Cell 2 3 2 4 4" xfId="898"/>
    <cellStyle name="Check Cell 2 3 2 5" xfId="186"/>
    <cellStyle name="Check Cell 2 3 2 5 2" xfId="962"/>
    <cellStyle name="Check Cell 2 3 2 5 2 2" xfId="1153"/>
    <cellStyle name="Check Cell 2 3 2 5 3" xfId="1003"/>
    <cellStyle name="Check Cell 2 3 2 5 4" xfId="905"/>
    <cellStyle name="Check Cell 2 3 2 6" xfId="187"/>
    <cellStyle name="Check Cell 2 3 2 6 2" xfId="963"/>
    <cellStyle name="Check Cell 2 3 2 6 2 2" xfId="1154"/>
    <cellStyle name="Check Cell 2 3 2 6 3" xfId="1004"/>
    <cellStyle name="Check Cell 2 3 2 6 4" xfId="906"/>
    <cellStyle name="Check Cell 2 3 2 7" xfId="947"/>
    <cellStyle name="Check Cell 2 3 2 7 2" xfId="1138"/>
    <cellStyle name="Check Cell 2 3 2 8" xfId="999"/>
    <cellStyle name="Check Cell 2 3 2 9" xfId="889"/>
    <cellStyle name="Check Cell 2 3 3" xfId="925"/>
    <cellStyle name="Check Cell 2 3 3 2" xfId="1130"/>
    <cellStyle name="Check Cell 2 3 4" xfId="998"/>
    <cellStyle name="Check Cell 2 3 5" xfId="769"/>
    <cellStyle name="Check Cell 3" xfId="188"/>
    <cellStyle name="Check Cell 3 2" xfId="189"/>
    <cellStyle name="Check Cell 3 2 2" xfId="190"/>
    <cellStyle name="Check Cell 3 2 2 2" xfId="191"/>
    <cellStyle name="Check Cell 3 2 2 2 2" xfId="949"/>
    <cellStyle name="Check Cell 3 2 2 2 2 2" xfId="1140"/>
    <cellStyle name="Check Cell 3 2 2 2 3" xfId="1008"/>
    <cellStyle name="Check Cell 3 2 2 2 4" xfId="892"/>
    <cellStyle name="Check Cell 3 2 2 3" xfId="192"/>
    <cellStyle name="Check Cell 3 2 2 3 2" xfId="951"/>
    <cellStyle name="Check Cell 3 2 2 3 2 2" xfId="1142"/>
    <cellStyle name="Check Cell 3 2 2 3 3" xfId="1009"/>
    <cellStyle name="Check Cell 3 2 2 3 4" xfId="894"/>
    <cellStyle name="Check Cell 3 2 2 4" xfId="193"/>
    <cellStyle name="Check Cell 3 2 2 4 2" xfId="954"/>
    <cellStyle name="Check Cell 3 2 2 4 2 2" xfId="1145"/>
    <cellStyle name="Check Cell 3 2 2 4 3" xfId="1010"/>
    <cellStyle name="Check Cell 3 2 2 4 4" xfId="897"/>
    <cellStyle name="Check Cell 3 2 2 5" xfId="194"/>
    <cellStyle name="Check Cell 3 2 2 5 2" xfId="961"/>
    <cellStyle name="Check Cell 3 2 2 5 2 2" xfId="1152"/>
    <cellStyle name="Check Cell 3 2 2 5 3" xfId="1011"/>
    <cellStyle name="Check Cell 3 2 2 5 4" xfId="904"/>
    <cellStyle name="Check Cell 3 2 2 6" xfId="195"/>
    <cellStyle name="Check Cell 3 2 2 6 2" xfId="956"/>
    <cellStyle name="Check Cell 3 2 2 6 2 2" xfId="1147"/>
    <cellStyle name="Check Cell 3 2 2 6 3" xfId="1012"/>
    <cellStyle name="Check Cell 3 2 2 6 4" xfId="899"/>
    <cellStyle name="Check Cell 3 2 2 7" xfId="946"/>
    <cellStyle name="Check Cell 3 2 2 7 2" xfId="1137"/>
    <cellStyle name="Check Cell 3 2 2 8" xfId="1007"/>
    <cellStyle name="Check Cell 3 2 2 9" xfId="887"/>
    <cellStyle name="Check Cell 3 2 3" xfId="196"/>
    <cellStyle name="Check Cell 3 2 3 2" xfId="967"/>
    <cellStyle name="Check Cell 3 2 3 2 2" xfId="1156"/>
    <cellStyle name="Check Cell 3 2 3 3" xfId="1013"/>
    <cellStyle name="Check Cell 3 2 3 4" xfId="913"/>
    <cellStyle name="Check Cell 3 2 4" xfId="197"/>
    <cellStyle name="Check Cell 3 2 4 2" xfId="1014"/>
    <cellStyle name="Check Cell 3 2 4 3" xfId="909"/>
    <cellStyle name="Check Cell 3 2 5" xfId="1006"/>
    <cellStyle name="Check Cell 3 2 6" xfId="755"/>
    <cellStyle name="Check Cell 3 3" xfId="198"/>
    <cellStyle name="Check Cell 3 3 2" xfId="199"/>
    <cellStyle name="Check Cell 3 3 2 2" xfId="931"/>
    <cellStyle name="Check Cell 3 3 2 2 2" xfId="1132"/>
    <cellStyle name="Check Cell 3 3 2 3" xfId="1016"/>
    <cellStyle name="Check Cell 3 3 2 4" xfId="871"/>
    <cellStyle name="Check Cell 3 3 3" xfId="200"/>
    <cellStyle name="Check Cell 3 3 3 2" xfId="932"/>
    <cellStyle name="Check Cell 3 3 3 2 2" xfId="1133"/>
    <cellStyle name="Check Cell 3 3 3 3" xfId="1017"/>
    <cellStyle name="Check Cell 3 3 3 4" xfId="872"/>
    <cellStyle name="Check Cell 3 3 4" xfId="201"/>
    <cellStyle name="Check Cell 3 3 4 2" xfId="930"/>
    <cellStyle name="Check Cell 3 3 4 2 2" xfId="1131"/>
    <cellStyle name="Check Cell 3 3 4 3" xfId="1018"/>
    <cellStyle name="Check Cell 3 3 4 4" xfId="870"/>
    <cellStyle name="Check Cell 3 3 5" xfId="202"/>
    <cellStyle name="Check Cell 3 3 5 2" xfId="958"/>
    <cellStyle name="Check Cell 3 3 5 2 2" xfId="1149"/>
    <cellStyle name="Check Cell 3 3 5 3" xfId="1019"/>
    <cellStyle name="Check Cell 3 3 5 4" xfId="901"/>
    <cellStyle name="Check Cell 3 3 6" xfId="203"/>
    <cellStyle name="Check Cell 3 3 6 2" xfId="959"/>
    <cellStyle name="Check Cell 3 3 6 2 2" xfId="1150"/>
    <cellStyle name="Check Cell 3 3 6 3" xfId="1020"/>
    <cellStyle name="Check Cell 3 3 6 4" xfId="902"/>
    <cellStyle name="Check Cell 3 3 7" xfId="934"/>
    <cellStyle name="Check Cell 3 3 7 2" xfId="1135"/>
    <cellStyle name="Check Cell 3 3 8" xfId="1015"/>
    <cellStyle name="Check Cell 3 3 9" xfId="874"/>
    <cellStyle name="Check Cell 3 4" xfId="204"/>
    <cellStyle name="Check Cell 3 4 2" xfId="205"/>
    <cellStyle name="Check Cell 3 4 2 2" xfId="948"/>
    <cellStyle name="Check Cell 3 4 2 2 2" xfId="1139"/>
    <cellStyle name="Check Cell 3 4 2 3" xfId="1022"/>
    <cellStyle name="Check Cell 3 4 2 4" xfId="891"/>
    <cellStyle name="Check Cell 3 4 3" xfId="206"/>
    <cellStyle name="Check Cell 3 4 3 2" xfId="933"/>
    <cellStyle name="Check Cell 3 4 3 2 2" xfId="1134"/>
    <cellStyle name="Check Cell 3 4 3 3" xfId="1023"/>
    <cellStyle name="Check Cell 3 4 3 4" xfId="873"/>
    <cellStyle name="Check Cell 3 4 4" xfId="207"/>
    <cellStyle name="Check Cell 3 4 4 2" xfId="953"/>
    <cellStyle name="Check Cell 3 4 4 2 2" xfId="1144"/>
    <cellStyle name="Check Cell 3 4 4 3" xfId="1024"/>
    <cellStyle name="Check Cell 3 4 4 4" xfId="896"/>
    <cellStyle name="Check Cell 3 4 5" xfId="208"/>
    <cellStyle name="Check Cell 3 4 5 2" xfId="960"/>
    <cellStyle name="Check Cell 3 4 5 2 2" xfId="1151"/>
    <cellStyle name="Check Cell 3 4 5 3" xfId="1025"/>
    <cellStyle name="Check Cell 3 4 5 4" xfId="903"/>
    <cellStyle name="Check Cell 3 4 6" xfId="209"/>
    <cellStyle name="Check Cell 3 4 6 2" xfId="957"/>
    <cellStyle name="Check Cell 3 4 6 2 2" xfId="1148"/>
    <cellStyle name="Check Cell 3 4 6 3" xfId="1026"/>
    <cellStyle name="Check Cell 3 4 6 4" xfId="900"/>
    <cellStyle name="Check Cell 3 4 7" xfId="940"/>
    <cellStyle name="Check Cell 3 4 7 2" xfId="1136"/>
    <cellStyle name="Check Cell 3 4 8" xfId="1021"/>
    <cellStyle name="Check Cell 3 4 9" xfId="881"/>
    <cellStyle name="Check Cell 3 5" xfId="210"/>
    <cellStyle name="Check Cell 3 5 2" xfId="964"/>
    <cellStyle name="Check Cell 3 5 2 2" xfId="1155"/>
    <cellStyle name="Check Cell 3 5 3" xfId="1027"/>
    <cellStyle name="Check Cell 3 5 4" xfId="908"/>
    <cellStyle name="Check Cell 3 6" xfId="211"/>
    <cellStyle name="Check Cell 3 6 2" xfId="1028"/>
    <cellStyle name="Check Cell 3 6 3" xfId="910"/>
    <cellStyle name="Check Cell 3 7" xfId="1005"/>
    <cellStyle name="Check Cell 3 8" xfId="724"/>
    <cellStyle name="Explanatory Text 2" xfId="212"/>
    <cellStyle name="Explanatory Text 2 2" xfId="213"/>
    <cellStyle name="Explanatory Text 2 3" xfId="214"/>
    <cellStyle name="Explanatory Text 3" xfId="215"/>
    <cellStyle name="Explanatory Text 3 2" xfId="216"/>
    <cellStyle name="Good 2" xfId="217"/>
    <cellStyle name="Good 2 2" xfId="218"/>
    <cellStyle name="Good 2 3" xfId="219"/>
    <cellStyle name="Good 3" xfId="220"/>
    <cellStyle name="Good 3 2" xfId="221"/>
    <cellStyle name="Good 4" xfId="222"/>
    <cellStyle name="Good 4 2" xfId="223"/>
    <cellStyle name="Good 5" xfId="224"/>
    <cellStyle name="Good 5 2" xfId="225"/>
    <cellStyle name="Good 6" xfId="226"/>
    <cellStyle name="Good 6 2" xfId="227"/>
    <cellStyle name="Good 9" xfId="228"/>
    <cellStyle name="Good 9 2" xfId="229"/>
    <cellStyle name="Heading 1 2" xfId="230"/>
    <cellStyle name="Heading 1 2 2" xfId="231"/>
    <cellStyle name="Heading 1 2 3" xfId="232"/>
    <cellStyle name="Heading 1 3" xfId="233"/>
    <cellStyle name="Heading 1 3 2" xfId="234"/>
    <cellStyle name="Heading 1 4" xfId="1290"/>
    <cellStyle name="Heading 2 2" xfId="235"/>
    <cellStyle name="Heading 2 2 2" xfId="236"/>
    <cellStyle name="Heading 2 2 3" xfId="237"/>
    <cellStyle name="Heading 2 3" xfId="238"/>
    <cellStyle name="Heading 2 3 2" xfId="239"/>
    <cellStyle name="Heading 2 4" xfId="1291"/>
    <cellStyle name="Heading 3 2" xfId="240"/>
    <cellStyle name="Heading 3 2 2" xfId="241"/>
    <cellStyle name="Heading 3 2 3" xfId="242"/>
    <cellStyle name="Heading 3 2 3 2" xfId="926"/>
    <cellStyle name="Heading 3 3" xfId="243"/>
    <cellStyle name="Heading 3 3 2" xfId="244"/>
    <cellStyle name="Heading 3 3 2 2" xfId="923"/>
    <cellStyle name="Heading 3 3 3" xfId="919"/>
    <cellStyle name="Heading 3 4" xfId="1292"/>
    <cellStyle name="Heading 4 2" xfId="245"/>
    <cellStyle name="Heading 4 2 2" xfId="246"/>
    <cellStyle name="Heading 4 2 3" xfId="247"/>
    <cellStyle name="Heading 4 3" xfId="248"/>
    <cellStyle name="Heading 4 3 2" xfId="249"/>
    <cellStyle name="Heading 4 4" xfId="1293"/>
    <cellStyle name="Hyperlink" xfId="250" builtinId="8"/>
    <cellStyle name="Hyperlink 2" xfId="251"/>
    <cellStyle name="Hyperlink 2 2" xfId="252"/>
    <cellStyle name="Hyperlink 2 2 2" xfId="253"/>
    <cellStyle name="Hyperlink 2 2 3" xfId="1108"/>
    <cellStyle name="Hyperlink 2 3" xfId="254"/>
    <cellStyle name="Hyperlink 2 4" xfId="255"/>
    <cellStyle name="Hyperlink 3" xfId="256"/>
    <cellStyle name="Hyperlink 4" xfId="257"/>
    <cellStyle name="Hyperlink 5" xfId="258"/>
    <cellStyle name="Hyperlink 6" xfId="730"/>
    <cellStyle name="Input 2" xfId="259"/>
    <cellStyle name="Input 2 2" xfId="260"/>
    <cellStyle name="Input 2 3" xfId="261"/>
    <cellStyle name="Input 2 3 2" xfId="1314"/>
    <cellStyle name="Input 3" xfId="262"/>
    <cellStyle name="Input 3 2" xfId="263"/>
    <cellStyle name="Input 3 2 2" xfId="1310"/>
    <cellStyle name="Input 3 3" xfId="1306"/>
    <cellStyle name="Input 4" xfId="1302"/>
    <cellStyle name="Linked Cell 2" xfId="264"/>
    <cellStyle name="Linked Cell 2 2" xfId="265"/>
    <cellStyle name="Linked Cell 2 3" xfId="266"/>
    <cellStyle name="Linked Cell 2 3 2" xfId="267"/>
    <cellStyle name="Linked Cell 2 3 2 2" xfId="918"/>
    <cellStyle name="Linked Cell 2 3 2 2 2" xfId="1126"/>
    <cellStyle name="Linked Cell 2 3 2 3" xfId="927"/>
    <cellStyle name="Linked Cell 2 3 2 4" xfId="890"/>
    <cellStyle name="Linked Cell 2 3 3" xfId="921"/>
    <cellStyle name="Linked Cell 2 3 3 2" xfId="1128"/>
    <cellStyle name="Linked Cell 2 3 4" xfId="928"/>
    <cellStyle name="Linked Cell 2 3 5" xfId="770"/>
    <cellStyle name="Linked Cell 3" xfId="268"/>
    <cellStyle name="Linked Cell 3 2" xfId="269"/>
    <cellStyle name="Linked Cell 3 2 2" xfId="270"/>
    <cellStyle name="Linked Cell 3 2 2 2" xfId="916"/>
    <cellStyle name="Linked Cell 3 2 2 2 2" xfId="1125"/>
    <cellStyle name="Linked Cell 3 2 2 3" xfId="924"/>
    <cellStyle name="Linked Cell 3 2 2 4" xfId="888"/>
    <cellStyle name="Linked Cell 3 2 3" xfId="922"/>
    <cellStyle name="Linked Cell 3 2 3 2" xfId="1129"/>
    <cellStyle name="Linked Cell 3 2 4" xfId="914"/>
    <cellStyle name="Linked Cell 3 2 5" xfId="756"/>
    <cellStyle name="Linked Cell 3 3" xfId="271"/>
    <cellStyle name="Linked Cell 3 3 2" xfId="915"/>
    <cellStyle name="Linked Cell 3 3 2 2" xfId="1124"/>
    <cellStyle name="Linked Cell 3 3 3" xfId="917"/>
    <cellStyle name="Linked Cell 3 3 4" xfId="875"/>
    <cellStyle name="Linked Cell 3 4" xfId="920"/>
    <cellStyle name="Linked Cell 3 4 2" xfId="1127"/>
    <cellStyle name="Linked Cell 3 5" xfId="929"/>
    <cellStyle name="Linked Cell 3 6" xfId="725"/>
    <cellStyle name="Neutral 2" xfId="272"/>
    <cellStyle name="Neutral 2 2" xfId="273"/>
    <cellStyle name="Neutral 2 2 2" xfId="1050"/>
    <cellStyle name="Neutral 2 2 3" xfId="1099"/>
    <cellStyle name="Neutral 2 3" xfId="274"/>
    <cellStyle name="Neutral 2 4" xfId="705"/>
    <cellStyle name="Neutral 3" xfId="275"/>
    <cellStyle name="Neutral 3 2" xfId="276"/>
    <cellStyle name="Neutral 4" xfId="277"/>
    <cellStyle name="Neutral 4 2" xfId="278"/>
    <cellStyle name="Neutral 4 3" xfId="1073"/>
    <cellStyle name="Normal" xfId="0" builtinId="0"/>
    <cellStyle name="Normal 10" xfId="279"/>
    <cellStyle name="Normal 10 2" xfId="280"/>
    <cellStyle name="Normal 10 2 2" xfId="281"/>
    <cellStyle name="Normal 10 2 3" xfId="1115"/>
    <cellStyle name="Normal 10 3" xfId="282"/>
    <cellStyle name="Normal 10 3 2" xfId="966"/>
    <cellStyle name="Normal 10 3 3" xfId="1046"/>
    <cellStyle name="Normal 10 3 4" xfId="1123"/>
    <cellStyle name="Normal 10 3 5" xfId="912"/>
    <cellStyle name="Normal 11" xfId="283"/>
    <cellStyle name="Normal 11 10" xfId="1185"/>
    <cellStyle name="Normal 11 2" xfId="284"/>
    <cellStyle name="Normal 11 2 2" xfId="285"/>
    <cellStyle name="Normal 11 2 2 2" xfId="824"/>
    <cellStyle name="Normal 11 2 3" xfId="1047"/>
    <cellStyle name="Normal 11 2 4" xfId="1116"/>
    <cellStyle name="Normal 11 3" xfId="286"/>
    <cellStyle name="Normal 11 3 2" xfId="822"/>
    <cellStyle name="Normal 11 4" xfId="287"/>
    <cellStyle name="Normal 11 5" xfId="288"/>
    <cellStyle name="Normal 11 5 2" xfId="1578"/>
    <cellStyle name="Normal 11 5 2 2" xfId="2033"/>
    <cellStyle name="Normal 11 5 2 3" xfId="2486"/>
    <cellStyle name="Normal 11 5 2 4" xfId="2939"/>
    <cellStyle name="Normal 11 5 3" xfId="1806"/>
    <cellStyle name="Normal 11 5 4" xfId="2260"/>
    <cellStyle name="Normal 11 5 5" xfId="2713"/>
    <cellStyle name="Normal 11 5 6" xfId="1343"/>
    <cellStyle name="Normal 11 6" xfId="1072"/>
    <cellStyle name="Normal 11 6 2" xfId="1920"/>
    <cellStyle name="Normal 11 6 3" xfId="2373"/>
    <cellStyle name="Normal 11 6 4" xfId="2826"/>
    <cellStyle name="Normal 11 6 5" xfId="1465"/>
    <cellStyle name="Normal 11 7" xfId="1693"/>
    <cellStyle name="Normal 11 8" xfId="2147"/>
    <cellStyle name="Normal 11 9" xfId="2600"/>
    <cellStyle name="Normal 12" xfId="289"/>
    <cellStyle name="Normal 12 10" xfId="1208"/>
    <cellStyle name="Normal 12 2" xfId="290"/>
    <cellStyle name="Normal 12 3" xfId="291"/>
    <cellStyle name="Normal 12 4" xfId="292"/>
    <cellStyle name="Normal 12 5" xfId="1110"/>
    <cellStyle name="Normal 12 5 2" xfId="1601"/>
    <cellStyle name="Normal 12 5 2 2" xfId="2056"/>
    <cellStyle name="Normal 12 5 2 3" xfId="2509"/>
    <cellStyle name="Normal 12 5 2 4" xfId="2962"/>
    <cellStyle name="Normal 12 5 3" xfId="1829"/>
    <cellStyle name="Normal 12 5 4" xfId="2283"/>
    <cellStyle name="Normal 12 5 5" xfId="2736"/>
    <cellStyle name="Normal 12 5 6" xfId="1366"/>
    <cellStyle name="Normal 12 6" xfId="1488"/>
    <cellStyle name="Normal 12 6 2" xfId="1943"/>
    <cellStyle name="Normal 12 6 3" xfId="2396"/>
    <cellStyle name="Normal 12 6 4" xfId="2849"/>
    <cellStyle name="Normal 12 7" xfId="1716"/>
    <cellStyle name="Normal 12 8" xfId="2170"/>
    <cellStyle name="Normal 12 9" xfId="2623"/>
    <cellStyle name="Normal 13" xfId="293"/>
    <cellStyle name="Normal 13 2" xfId="294"/>
    <cellStyle name="Normal 14" xfId="679"/>
    <cellStyle name="Normal 14 2" xfId="685"/>
    <cellStyle name="Normal 15" xfId="1316"/>
    <cellStyle name="Normal 15 2" xfId="1551"/>
    <cellStyle name="Normal 15 2 2" xfId="2006"/>
    <cellStyle name="Normal 15 2 3" xfId="2459"/>
    <cellStyle name="Normal 15 2 4" xfId="2912"/>
    <cellStyle name="Normal 15 3" xfId="1779"/>
    <cellStyle name="Normal 15 4" xfId="2233"/>
    <cellStyle name="Normal 15 5" xfId="2686"/>
    <cellStyle name="Normal 16" xfId="1433"/>
    <cellStyle name="Normal 17" xfId="1431"/>
    <cellStyle name="Normal 17 2" xfId="1892"/>
    <cellStyle name="Normal 17 3" xfId="2346"/>
    <cellStyle name="Normal 17 4" xfId="2799"/>
    <cellStyle name="Normal 18" xfId="1666"/>
    <cellStyle name="Normal 19" xfId="2120"/>
    <cellStyle name="Normal 2" xfId="295"/>
    <cellStyle name="Normal 2 10" xfId="296"/>
    <cellStyle name="Normal 2 10 2" xfId="297"/>
    <cellStyle name="Normal 2 10 2 2" xfId="1416"/>
    <cellStyle name="Normal 2 10 2 2 2" xfId="1651"/>
    <cellStyle name="Normal 2 10 2 2 2 2" xfId="2106"/>
    <cellStyle name="Normal 2 10 2 2 2 3" xfId="2559"/>
    <cellStyle name="Normal 2 10 2 2 2 4" xfId="3012"/>
    <cellStyle name="Normal 2 10 2 2 3" xfId="1879"/>
    <cellStyle name="Normal 2 10 2 2 4" xfId="2333"/>
    <cellStyle name="Normal 2 10 2 2 5" xfId="2786"/>
    <cellStyle name="Normal 2 10 2 3" xfId="1538"/>
    <cellStyle name="Normal 2 10 2 3 2" xfId="1993"/>
    <cellStyle name="Normal 2 10 2 3 3" xfId="2446"/>
    <cellStyle name="Normal 2 10 2 3 4" xfId="2899"/>
    <cellStyle name="Normal 2 10 2 4" xfId="1766"/>
    <cellStyle name="Normal 2 10 2 5" xfId="2220"/>
    <cellStyle name="Normal 2 10 2 6" xfId="2673"/>
    <cellStyle name="Normal 2 10 2 7" xfId="1258"/>
    <cellStyle name="Normal 2 10 3" xfId="1372"/>
    <cellStyle name="Normal 2 10 3 2" xfId="1607"/>
    <cellStyle name="Normal 2 10 3 2 2" xfId="2062"/>
    <cellStyle name="Normal 2 10 3 2 3" xfId="2515"/>
    <cellStyle name="Normal 2 10 3 2 4" xfId="2968"/>
    <cellStyle name="Normal 2 10 3 3" xfId="1835"/>
    <cellStyle name="Normal 2 10 3 4" xfId="2289"/>
    <cellStyle name="Normal 2 10 3 5" xfId="2742"/>
    <cellStyle name="Normal 2 10 4" xfId="1494"/>
    <cellStyle name="Normal 2 10 4 2" xfId="1949"/>
    <cellStyle name="Normal 2 10 4 3" xfId="2402"/>
    <cellStyle name="Normal 2 10 4 4" xfId="2855"/>
    <cellStyle name="Normal 2 10 5" xfId="1722"/>
    <cellStyle name="Normal 2 10 6" xfId="2176"/>
    <cellStyle name="Normal 2 10 7" xfId="2629"/>
    <cellStyle name="Normal 2 10 8" xfId="1214"/>
    <cellStyle name="Normal 2 11" xfId="298"/>
    <cellStyle name="Normal 2 11 2" xfId="1370"/>
    <cellStyle name="Normal 2 11 2 2" xfId="1605"/>
    <cellStyle name="Normal 2 11 2 2 2" xfId="2060"/>
    <cellStyle name="Normal 2 11 2 2 3" xfId="2513"/>
    <cellStyle name="Normal 2 11 2 2 4" xfId="2966"/>
    <cellStyle name="Normal 2 11 2 3" xfId="1833"/>
    <cellStyle name="Normal 2 11 2 4" xfId="2287"/>
    <cellStyle name="Normal 2 11 2 5" xfId="2740"/>
    <cellStyle name="Normal 2 11 3" xfId="1492"/>
    <cellStyle name="Normal 2 11 3 2" xfId="1947"/>
    <cellStyle name="Normal 2 11 3 3" xfId="2400"/>
    <cellStyle name="Normal 2 11 3 4" xfId="2853"/>
    <cellStyle name="Normal 2 11 4" xfId="1720"/>
    <cellStyle name="Normal 2 11 5" xfId="2174"/>
    <cellStyle name="Normal 2 11 6" xfId="2627"/>
    <cellStyle name="Normal 2 11 7" xfId="1212"/>
    <cellStyle name="Normal 2 12" xfId="299"/>
    <cellStyle name="Normal 2 12 2" xfId="1375"/>
    <cellStyle name="Normal 2 12 2 2" xfId="1610"/>
    <cellStyle name="Normal 2 12 2 2 2" xfId="2065"/>
    <cellStyle name="Normal 2 12 2 2 3" xfId="2518"/>
    <cellStyle name="Normal 2 12 2 2 4" xfId="2971"/>
    <cellStyle name="Normal 2 12 2 3" xfId="1838"/>
    <cellStyle name="Normal 2 12 2 4" xfId="2292"/>
    <cellStyle name="Normal 2 12 2 5" xfId="2745"/>
    <cellStyle name="Normal 2 12 3" xfId="1497"/>
    <cellStyle name="Normal 2 12 3 2" xfId="1952"/>
    <cellStyle name="Normal 2 12 3 3" xfId="2405"/>
    <cellStyle name="Normal 2 12 3 4" xfId="2858"/>
    <cellStyle name="Normal 2 12 4" xfId="1725"/>
    <cellStyle name="Normal 2 12 5" xfId="2179"/>
    <cellStyle name="Normal 2 12 6" xfId="2632"/>
    <cellStyle name="Normal 2 12 7" xfId="1217"/>
    <cellStyle name="Normal 2 13" xfId="300"/>
    <cellStyle name="Normal 2 13 2" xfId="1376"/>
    <cellStyle name="Normal 2 13 2 2" xfId="1611"/>
    <cellStyle name="Normal 2 13 2 2 2" xfId="2066"/>
    <cellStyle name="Normal 2 13 2 2 3" xfId="2519"/>
    <cellStyle name="Normal 2 13 2 2 4" xfId="2972"/>
    <cellStyle name="Normal 2 13 2 3" xfId="1839"/>
    <cellStyle name="Normal 2 13 2 4" xfId="2293"/>
    <cellStyle name="Normal 2 13 2 5" xfId="2746"/>
    <cellStyle name="Normal 2 13 3" xfId="1498"/>
    <cellStyle name="Normal 2 13 3 2" xfId="1953"/>
    <cellStyle name="Normal 2 13 3 3" xfId="2406"/>
    <cellStyle name="Normal 2 13 3 4" xfId="2859"/>
    <cellStyle name="Normal 2 13 4" xfId="1726"/>
    <cellStyle name="Normal 2 13 5" xfId="2180"/>
    <cellStyle name="Normal 2 13 6" xfId="2633"/>
    <cellStyle name="Normal 2 13 7" xfId="1218"/>
    <cellStyle name="Normal 2 14" xfId="301"/>
    <cellStyle name="Normal 2 15" xfId="302"/>
    <cellStyle name="Normal 2 16" xfId="303"/>
    <cellStyle name="Normal 2 16 2" xfId="1368"/>
    <cellStyle name="Normal 2 16 2 2" xfId="1603"/>
    <cellStyle name="Normal 2 16 2 2 2" xfId="2058"/>
    <cellStyle name="Normal 2 16 2 2 3" xfId="2511"/>
    <cellStyle name="Normal 2 16 2 2 4" xfId="2964"/>
    <cellStyle name="Normal 2 16 2 3" xfId="1831"/>
    <cellStyle name="Normal 2 16 2 4" xfId="2285"/>
    <cellStyle name="Normal 2 16 2 5" xfId="2738"/>
    <cellStyle name="Normal 2 16 3" xfId="1490"/>
    <cellStyle name="Normal 2 16 3 2" xfId="1945"/>
    <cellStyle name="Normal 2 16 3 3" xfId="2398"/>
    <cellStyle name="Normal 2 16 3 4" xfId="2851"/>
    <cellStyle name="Normal 2 16 4" xfId="1718"/>
    <cellStyle name="Normal 2 16 5" xfId="2172"/>
    <cellStyle name="Normal 2 16 6" xfId="2625"/>
    <cellStyle name="Normal 2 16 7" xfId="1210"/>
    <cellStyle name="Normal 2 17" xfId="1317"/>
    <cellStyle name="Normal 2 17 2" xfId="1552"/>
    <cellStyle name="Normal 2 17 2 2" xfId="2007"/>
    <cellStyle name="Normal 2 17 2 3" xfId="2460"/>
    <cellStyle name="Normal 2 17 2 4" xfId="2913"/>
    <cellStyle name="Normal 2 17 3" xfId="1780"/>
    <cellStyle name="Normal 2 17 4" xfId="2234"/>
    <cellStyle name="Normal 2 17 5" xfId="2687"/>
    <cellStyle name="Normal 2 18" xfId="1438"/>
    <cellStyle name="Normal 2 18 2" xfId="1894"/>
    <cellStyle name="Normal 2 18 3" xfId="2347"/>
    <cellStyle name="Normal 2 18 4" xfId="2800"/>
    <cellStyle name="Normal 2 19" xfId="1667"/>
    <cellStyle name="Normal 2 2" xfId="304"/>
    <cellStyle name="Normal 2 2 2" xfId="305"/>
    <cellStyle name="Normal 2 2 2 2" xfId="306"/>
    <cellStyle name="Normal 2 2 3" xfId="307"/>
    <cellStyle name="Normal 2 2 3 2" xfId="308"/>
    <cellStyle name="Normal 2 2 4" xfId="309"/>
    <cellStyle name="Normal 2 2 4 2" xfId="310"/>
    <cellStyle name="Normal 2 2 4 2 2" xfId="1402"/>
    <cellStyle name="Normal 2 2 4 2 2 2" xfId="1637"/>
    <cellStyle name="Normal 2 2 4 2 2 2 2" xfId="2092"/>
    <cellStyle name="Normal 2 2 4 2 2 2 3" xfId="2545"/>
    <cellStyle name="Normal 2 2 4 2 2 2 4" xfId="2998"/>
    <cellStyle name="Normal 2 2 4 2 2 3" xfId="1865"/>
    <cellStyle name="Normal 2 2 4 2 2 4" xfId="2319"/>
    <cellStyle name="Normal 2 2 4 2 2 5" xfId="2772"/>
    <cellStyle name="Normal 2 2 4 2 3" xfId="1524"/>
    <cellStyle name="Normal 2 2 4 2 3 2" xfId="1979"/>
    <cellStyle name="Normal 2 2 4 2 3 3" xfId="2432"/>
    <cellStyle name="Normal 2 2 4 2 3 4" xfId="2885"/>
    <cellStyle name="Normal 2 2 4 2 4" xfId="1752"/>
    <cellStyle name="Normal 2 2 4 2 5" xfId="2206"/>
    <cellStyle name="Normal 2 2 4 2 6" xfId="2659"/>
    <cellStyle name="Normal 2 2 4 2 7" xfId="1244"/>
    <cellStyle name="Normal 2 2 4 3" xfId="311"/>
    <cellStyle name="Normal 2 2 4 4" xfId="1077"/>
    <cellStyle name="Normal 2 2 5" xfId="312"/>
    <cellStyle name="Normal 2 2 5 2" xfId="1397"/>
    <cellStyle name="Normal 2 2 5 2 2" xfId="1632"/>
    <cellStyle name="Normal 2 2 5 2 2 2" xfId="2087"/>
    <cellStyle name="Normal 2 2 5 2 2 3" xfId="2540"/>
    <cellStyle name="Normal 2 2 5 2 2 4" xfId="2993"/>
    <cellStyle name="Normal 2 2 5 2 3" xfId="1860"/>
    <cellStyle name="Normal 2 2 5 2 4" xfId="2314"/>
    <cellStyle name="Normal 2 2 5 2 5" xfId="2767"/>
    <cellStyle name="Normal 2 2 5 3" xfId="1519"/>
    <cellStyle name="Normal 2 2 5 3 2" xfId="1974"/>
    <cellStyle name="Normal 2 2 5 3 3" xfId="2427"/>
    <cellStyle name="Normal 2 2 5 3 4" xfId="2880"/>
    <cellStyle name="Normal 2 2 5 4" xfId="1747"/>
    <cellStyle name="Normal 2 2 5 5" xfId="2201"/>
    <cellStyle name="Normal 2 2 5 6" xfId="2654"/>
    <cellStyle name="Normal 2 2 5 7" xfId="1239"/>
    <cellStyle name="Normal 2 2 6" xfId="687"/>
    <cellStyle name="Normal 2 2_SQIndex" xfId="313"/>
    <cellStyle name="Normal 2 20" xfId="2121"/>
    <cellStyle name="Normal 2 21" xfId="2574"/>
    <cellStyle name="Normal 2 22" xfId="1159"/>
    <cellStyle name="Normal 2 3" xfId="314"/>
    <cellStyle name="Normal 2 3 2" xfId="315"/>
    <cellStyle name="Normal 2 3 2 2" xfId="316"/>
    <cellStyle name="Normal 2 3 2 2 2" xfId="317"/>
    <cellStyle name="Normal 2 3 2 2 2 2" xfId="1417"/>
    <cellStyle name="Normal 2 3 2 2 2 2 2" xfId="1652"/>
    <cellStyle name="Normal 2 3 2 2 2 2 2 2" xfId="2107"/>
    <cellStyle name="Normal 2 3 2 2 2 2 2 3" xfId="2560"/>
    <cellStyle name="Normal 2 3 2 2 2 2 2 4" xfId="3013"/>
    <cellStyle name="Normal 2 3 2 2 2 2 3" xfId="1880"/>
    <cellStyle name="Normal 2 3 2 2 2 2 4" xfId="2334"/>
    <cellStyle name="Normal 2 3 2 2 2 2 5" xfId="2787"/>
    <cellStyle name="Normal 2 3 2 2 2 3" xfId="1539"/>
    <cellStyle name="Normal 2 3 2 2 2 3 2" xfId="1994"/>
    <cellStyle name="Normal 2 3 2 2 2 3 3" xfId="2447"/>
    <cellStyle name="Normal 2 3 2 2 2 3 4" xfId="2900"/>
    <cellStyle name="Normal 2 3 2 2 2 4" xfId="1767"/>
    <cellStyle name="Normal 2 3 2 2 2 5" xfId="2221"/>
    <cellStyle name="Normal 2 3 2 2 2 6" xfId="2674"/>
    <cellStyle name="Normal 2 3 2 2 2 7" xfId="1259"/>
    <cellStyle name="Normal 2 3 2 2 3" xfId="1100"/>
    <cellStyle name="Normal 2 3 2 2 3 2" xfId="1594"/>
    <cellStyle name="Normal 2 3 2 2 3 2 2" xfId="2049"/>
    <cellStyle name="Normal 2 3 2 2 3 2 3" xfId="2502"/>
    <cellStyle name="Normal 2 3 2 2 3 2 4" xfId="2955"/>
    <cellStyle name="Normal 2 3 2 2 3 3" xfId="1822"/>
    <cellStyle name="Normal 2 3 2 2 3 4" xfId="2276"/>
    <cellStyle name="Normal 2 3 2 2 3 5" xfId="2729"/>
    <cellStyle name="Normal 2 3 2 2 3 6" xfId="1359"/>
    <cellStyle name="Normal 2 3 2 2 4" xfId="1481"/>
    <cellStyle name="Normal 2 3 2 2 4 2" xfId="1936"/>
    <cellStyle name="Normal 2 3 2 2 4 3" xfId="2389"/>
    <cellStyle name="Normal 2 3 2 2 4 4" xfId="2842"/>
    <cellStyle name="Normal 2 3 2 2 5" xfId="1709"/>
    <cellStyle name="Normal 2 3 2 2 6" xfId="2163"/>
    <cellStyle name="Normal 2 3 2 2 7" xfId="2616"/>
    <cellStyle name="Normal 2 3 2 2 8" xfId="1201"/>
    <cellStyle name="Normal 2 3 2 3" xfId="318"/>
    <cellStyle name="Normal 2 3 2 3 2" xfId="1389"/>
    <cellStyle name="Normal 2 3 2 3 2 2" xfId="1624"/>
    <cellStyle name="Normal 2 3 2 3 2 2 2" xfId="2079"/>
    <cellStyle name="Normal 2 3 2 3 2 2 3" xfId="2532"/>
    <cellStyle name="Normal 2 3 2 3 2 2 4" xfId="2985"/>
    <cellStyle name="Normal 2 3 2 3 2 3" xfId="1852"/>
    <cellStyle name="Normal 2 3 2 3 2 4" xfId="2306"/>
    <cellStyle name="Normal 2 3 2 3 2 5" xfId="2759"/>
    <cellStyle name="Normal 2 3 2 3 3" xfId="1511"/>
    <cellStyle name="Normal 2 3 2 3 3 2" xfId="1966"/>
    <cellStyle name="Normal 2 3 2 3 3 3" xfId="2419"/>
    <cellStyle name="Normal 2 3 2 3 3 4" xfId="2872"/>
    <cellStyle name="Normal 2 3 2 3 4" xfId="1739"/>
    <cellStyle name="Normal 2 3 2 3 5" xfId="2193"/>
    <cellStyle name="Normal 2 3 2 3 6" xfId="2646"/>
    <cellStyle name="Normal 2 3 2 3 7" xfId="1231"/>
    <cellStyle name="Normal 2 3 2 4" xfId="1063"/>
    <cellStyle name="Normal 2 3 2 4 2" xfId="1565"/>
    <cellStyle name="Normal 2 3 2 4 2 2" xfId="2020"/>
    <cellStyle name="Normal 2 3 2 4 2 3" xfId="2473"/>
    <cellStyle name="Normal 2 3 2 4 2 4" xfId="2926"/>
    <cellStyle name="Normal 2 3 2 4 3" xfId="1793"/>
    <cellStyle name="Normal 2 3 2 4 4" xfId="2247"/>
    <cellStyle name="Normal 2 3 2 4 5" xfId="2700"/>
    <cellStyle name="Normal 2 3 2 4 6" xfId="1330"/>
    <cellStyle name="Normal 2 3 2 5" xfId="1452"/>
    <cellStyle name="Normal 2 3 2 5 2" xfId="1907"/>
    <cellStyle name="Normal 2 3 2 5 3" xfId="2360"/>
    <cellStyle name="Normal 2 3 2 5 4" xfId="2813"/>
    <cellStyle name="Normal 2 3 2 6" xfId="1680"/>
    <cellStyle name="Normal 2 3 2 7" xfId="2134"/>
    <cellStyle name="Normal 2 3 2 8" xfId="2587"/>
    <cellStyle name="Normal 2 3 2 9" xfId="1172"/>
    <cellStyle name="Normal 2 3 3" xfId="319"/>
    <cellStyle name="Normal 2 3 3 2" xfId="320"/>
    <cellStyle name="Normal 2 3 3 3" xfId="1083"/>
    <cellStyle name="Normal 2 3 4" xfId="321"/>
    <cellStyle name="Normal 2 3 5" xfId="322"/>
    <cellStyle name="Normal 2 3 6" xfId="323"/>
    <cellStyle name="Normal 2 3 7" xfId="693"/>
    <cellStyle name="Normal 2 4" xfId="324"/>
    <cellStyle name="Normal 2 4 2" xfId="325"/>
    <cellStyle name="Normal 2 4 2 2" xfId="326"/>
    <cellStyle name="Normal 2 4 2 2 2" xfId="327"/>
    <cellStyle name="Normal 2 4 2 2 2 2" xfId="823"/>
    <cellStyle name="Normal 2 4 2 3" xfId="328"/>
    <cellStyle name="Normal 2 4 2 3 2" xfId="789"/>
    <cellStyle name="Normal 2 4 3" xfId="329"/>
    <cellStyle name="Normal 2 4 3 2" xfId="330"/>
    <cellStyle name="Normal 2 4 3 3" xfId="1085"/>
    <cellStyle name="Normal 2 4 4" xfId="331"/>
    <cellStyle name="Normal 2 4 5" xfId="332"/>
    <cellStyle name="Normal 2 4 6" xfId="694"/>
    <cellStyle name="Normal 2 5" xfId="333"/>
    <cellStyle name="Normal 2 5 2" xfId="334"/>
    <cellStyle name="Normal 2 5 2 2" xfId="335"/>
    <cellStyle name="Normal 2 5 2 2 2" xfId="834"/>
    <cellStyle name="Normal 2 5 2 3" xfId="336"/>
    <cellStyle name="Normal 2 5 2 4" xfId="1086"/>
    <cellStyle name="Normal 2 5 3" xfId="337"/>
    <cellStyle name="Normal 2 5 3 2" xfId="338"/>
    <cellStyle name="Normal 2 5 3 3" xfId="1112"/>
    <cellStyle name="Normal 2 5 4" xfId="339"/>
    <cellStyle name="Normal 2 5 4 2" xfId="784"/>
    <cellStyle name="Normal 2 5 5" xfId="340"/>
    <cellStyle name="Normal 2 5 6" xfId="695"/>
    <cellStyle name="Normal 2 6" xfId="341"/>
    <cellStyle name="Normal 2 6 10" xfId="1180"/>
    <cellStyle name="Normal 2 6 2" xfId="342"/>
    <cellStyle name="Normal 2 6 2 2" xfId="343"/>
    <cellStyle name="Normal 2 6 2 2 2" xfId="1418"/>
    <cellStyle name="Normal 2 6 2 2 2 2" xfId="1653"/>
    <cellStyle name="Normal 2 6 2 2 2 2 2" xfId="2108"/>
    <cellStyle name="Normal 2 6 2 2 2 2 3" xfId="2561"/>
    <cellStyle name="Normal 2 6 2 2 2 2 4" xfId="3014"/>
    <cellStyle name="Normal 2 6 2 2 2 3" xfId="1881"/>
    <cellStyle name="Normal 2 6 2 2 2 4" xfId="2335"/>
    <cellStyle name="Normal 2 6 2 2 2 5" xfId="2788"/>
    <cellStyle name="Normal 2 6 2 2 3" xfId="1540"/>
    <cellStyle name="Normal 2 6 2 2 3 2" xfId="1995"/>
    <cellStyle name="Normal 2 6 2 2 3 3" xfId="2448"/>
    <cellStyle name="Normal 2 6 2 2 3 4" xfId="2901"/>
    <cellStyle name="Normal 2 6 2 2 4" xfId="1768"/>
    <cellStyle name="Normal 2 6 2 2 5" xfId="2222"/>
    <cellStyle name="Normal 2 6 2 2 6" xfId="2675"/>
    <cellStyle name="Normal 2 6 2 2 7" xfId="1260"/>
    <cellStyle name="Normal 2 6 2 3" xfId="344"/>
    <cellStyle name="Normal 2 6 2 4" xfId="1084"/>
    <cellStyle name="Normal 2 6 2 4 2" xfId="1581"/>
    <cellStyle name="Normal 2 6 2 4 2 2" xfId="2036"/>
    <cellStyle name="Normal 2 6 2 4 2 3" xfId="2489"/>
    <cellStyle name="Normal 2 6 2 4 2 4" xfId="2942"/>
    <cellStyle name="Normal 2 6 2 4 3" xfId="1809"/>
    <cellStyle name="Normal 2 6 2 4 4" xfId="2263"/>
    <cellStyle name="Normal 2 6 2 4 5" xfId="2716"/>
    <cellStyle name="Normal 2 6 2 4 6" xfId="1346"/>
    <cellStyle name="Normal 2 6 2 5" xfId="1468"/>
    <cellStyle name="Normal 2 6 2 5 2" xfId="1923"/>
    <cellStyle name="Normal 2 6 2 5 3" xfId="2376"/>
    <cellStyle name="Normal 2 6 2 5 4" xfId="2829"/>
    <cellStyle name="Normal 2 6 2 6" xfId="1696"/>
    <cellStyle name="Normal 2 6 2 7" xfId="2150"/>
    <cellStyle name="Normal 2 6 2 8" xfId="2603"/>
    <cellStyle name="Normal 2 6 2 9" xfId="1188"/>
    <cellStyle name="Normal 2 6 3" xfId="345"/>
    <cellStyle name="Normal 2 6 3 2" xfId="346"/>
    <cellStyle name="Normal 2 6 3 2 2" xfId="1606"/>
    <cellStyle name="Normal 2 6 3 2 2 2" xfId="2061"/>
    <cellStyle name="Normal 2 6 3 2 2 3" xfId="2514"/>
    <cellStyle name="Normal 2 6 3 2 2 4" xfId="2967"/>
    <cellStyle name="Normal 2 6 3 2 3" xfId="1834"/>
    <cellStyle name="Normal 2 6 3 2 4" xfId="2288"/>
    <cellStyle name="Normal 2 6 3 2 5" xfId="2741"/>
    <cellStyle name="Normal 2 6 3 2 6" xfId="1371"/>
    <cellStyle name="Normal 2 6 3 3" xfId="1114"/>
    <cellStyle name="Normal 2 6 3 3 2" xfId="1948"/>
    <cellStyle name="Normal 2 6 3 3 3" xfId="2401"/>
    <cellStyle name="Normal 2 6 3 3 4" xfId="2854"/>
    <cellStyle name="Normal 2 6 3 3 5" xfId="1493"/>
    <cellStyle name="Normal 2 6 3 4" xfId="1721"/>
    <cellStyle name="Normal 2 6 3 5" xfId="2175"/>
    <cellStyle name="Normal 2 6 3 6" xfId="2628"/>
    <cellStyle name="Normal 2 6 3 7" xfId="1213"/>
    <cellStyle name="Normal 2 6 4" xfId="347"/>
    <cellStyle name="Normal 2 6 4 2" xfId="1043"/>
    <cellStyle name="Normal 2 6 4 3" xfId="1119"/>
    <cellStyle name="Normal 2 6 5" xfId="1069"/>
    <cellStyle name="Normal 2 6 5 2" xfId="1573"/>
    <cellStyle name="Normal 2 6 5 2 2" xfId="2028"/>
    <cellStyle name="Normal 2 6 5 2 3" xfId="2481"/>
    <cellStyle name="Normal 2 6 5 2 4" xfId="2934"/>
    <cellStyle name="Normal 2 6 5 3" xfId="1801"/>
    <cellStyle name="Normal 2 6 5 4" xfId="2255"/>
    <cellStyle name="Normal 2 6 5 5" xfId="2708"/>
    <cellStyle name="Normal 2 6 5 6" xfId="1338"/>
    <cellStyle name="Normal 2 6 6" xfId="726"/>
    <cellStyle name="Normal 2 6 6 2" xfId="1915"/>
    <cellStyle name="Normal 2 6 6 3" xfId="2368"/>
    <cellStyle name="Normal 2 6 6 4" xfId="2821"/>
    <cellStyle name="Normal 2 6 6 5" xfId="1460"/>
    <cellStyle name="Normal 2 6 7" xfId="1688"/>
    <cellStyle name="Normal 2 6 8" xfId="2142"/>
    <cellStyle name="Normal 2 6 9" xfId="2595"/>
    <cellStyle name="Normal 2 7" xfId="348"/>
    <cellStyle name="Normal 2 7 2" xfId="349"/>
    <cellStyle name="Normal 2 7 2 2" xfId="1369"/>
    <cellStyle name="Normal 2 7 2 2 2" xfId="1604"/>
    <cellStyle name="Normal 2 7 2 2 2 2" xfId="2059"/>
    <cellStyle name="Normal 2 7 2 2 2 3" xfId="2512"/>
    <cellStyle name="Normal 2 7 2 2 2 4" xfId="2965"/>
    <cellStyle name="Normal 2 7 2 2 3" xfId="1832"/>
    <cellStyle name="Normal 2 7 2 2 4" xfId="2286"/>
    <cellStyle name="Normal 2 7 2 2 5" xfId="2739"/>
    <cellStyle name="Normal 2 7 2 3" xfId="1491"/>
    <cellStyle name="Normal 2 7 2 3 2" xfId="1946"/>
    <cellStyle name="Normal 2 7 2 3 3" xfId="2399"/>
    <cellStyle name="Normal 2 7 2 3 4" xfId="2852"/>
    <cellStyle name="Normal 2 7 2 4" xfId="1719"/>
    <cellStyle name="Normal 2 7 2 5" xfId="2173"/>
    <cellStyle name="Normal 2 7 2 6" xfId="2626"/>
    <cellStyle name="Normal 2 7 2 7" xfId="1211"/>
    <cellStyle name="Normal 2 7 3" xfId="350"/>
    <cellStyle name="Normal 2 7 3 2" xfId="1049"/>
    <cellStyle name="Normal 2 7 3 2 2" xfId="2029"/>
    <cellStyle name="Normal 2 7 3 2 3" xfId="2482"/>
    <cellStyle name="Normal 2 7 3 2 4" xfId="2935"/>
    <cellStyle name="Normal 2 7 3 2 5" xfId="1574"/>
    <cellStyle name="Normal 2 7 3 3" xfId="1122"/>
    <cellStyle name="Normal 2 7 3 3 2" xfId="1802"/>
    <cellStyle name="Normal 2 7 3 4" xfId="2256"/>
    <cellStyle name="Normal 2 7 3 5" xfId="2709"/>
    <cellStyle name="Normal 2 7 3 6" xfId="1339"/>
    <cellStyle name="Normal 2 7 4" xfId="1461"/>
    <cellStyle name="Normal 2 7 4 2" xfId="1916"/>
    <cellStyle name="Normal 2 7 4 3" xfId="2369"/>
    <cellStyle name="Normal 2 7 4 4" xfId="2822"/>
    <cellStyle name="Normal 2 7 5" xfId="1689"/>
    <cellStyle name="Normal 2 7 6" xfId="2143"/>
    <cellStyle name="Normal 2 7 7" xfId="2596"/>
    <cellStyle name="Normal 2 7 8" xfId="1181"/>
    <cellStyle name="Normal 2 8" xfId="351"/>
    <cellStyle name="Normal 2 8 2" xfId="352"/>
    <cellStyle name="Normal 2 8 2 2" xfId="1373"/>
    <cellStyle name="Normal 2 8 2 2 2" xfId="1608"/>
    <cellStyle name="Normal 2 8 2 2 2 2" xfId="2063"/>
    <cellStyle name="Normal 2 8 2 2 2 3" xfId="2516"/>
    <cellStyle name="Normal 2 8 2 2 2 4" xfId="2969"/>
    <cellStyle name="Normal 2 8 2 2 3" xfId="1836"/>
    <cellStyle name="Normal 2 8 2 2 4" xfId="2290"/>
    <cellStyle name="Normal 2 8 2 2 5" xfId="2743"/>
    <cellStyle name="Normal 2 8 2 3" xfId="1495"/>
    <cellStyle name="Normal 2 8 2 3 2" xfId="1950"/>
    <cellStyle name="Normal 2 8 2 3 3" xfId="2403"/>
    <cellStyle name="Normal 2 8 2 3 4" xfId="2856"/>
    <cellStyle name="Normal 2 8 2 4" xfId="1723"/>
    <cellStyle name="Normal 2 8 2 5" xfId="2177"/>
    <cellStyle name="Normal 2 8 2 6" xfId="2630"/>
    <cellStyle name="Normal 2 8 2 7" xfId="1215"/>
    <cellStyle name="Normal 2 8 3" xfId="1074"/>
    <cellStyle name="Normal 2 9" xfId="353"/>
    <cellStyle name="Normal 2 9 2" xfId="354"/>
    <cellStyle name="Normal 2 9 2 2" xfId="1401"/>
    <cellStyle name="Normal 2 9 2 2 2" xfId="1636"/>
    <cellStyle name="Normal 2 9 2 2 2 2" xfId="2091"/>
    <cellStyle name="Normal 2 9 2 2 2 3" xfId="2544"/>
    <cellStyle name="Normal 2 9 2 2 2 4" xfId="2997"/>
    <cellStyle name="Normal 2 9 2 2 3" xfId="1864"/>
    <cellStyle name="Normal 2 9 2 2 4" xfId="2318"/>
    <cellStyle name="Normal 2 9 2 2 5" xfId="2771"/>
    <cellStyle name="Normal 2 9 2 3" xfId="1523"/>
    <cellStyle name="Normal 2 9 2 3 2" xfId="1978"/>
    <cellStyle name="Normal 2 9 2 3 3" xfId="2431"/>
    <cellStyle name="Normal 2 9 2 3 4" xfId="2884"/>
    <cellStyle name="Normal 2 9 2 4" xfId="1751"/>
    <cellStyle name="Normal 2 9 2 5" xfId="2205"/>
    <cellStyle name="Normal 2 9 2 6" xfId="2658"/>
    <cellStyle name="Normal 2 9 2 7" xfId="1243"/>
    <cellStyle name="Normal 2 9 3" xfId="1374"/>
    <cellStyle name="Normal 2 9 3 2" xfId="1609"/>
    <cellStyle name="Normal 2 9 3 2 2" xfId="2064"/>
    <cellStyle name="Normal 2 9 3 2 3" xfId="2517"/>
    <cellStyle name="Normal 2 9 3 2 4" xfId="2970"/>
    <cellStyle name="Normal 2 9 3 3" xfId="1837"/>
    <cellStyle name="Normal 2 9 3 4" xfId="2291"/>
    <cellStyle name="Normal 2 9 3 5" xfId="2744"/>
    <cellStyle name="Normal 2 9 4" xfId="1496"/>
    <cellStyle name="Normal 2 9 4 2" xfId="1951"/>
    <cellStyle name="Normal 2 9 4 3" xfId="2404"/>
    <cellStyle name="Normal 2 9 4 4" xfId="2857"/>
    <cellStyle name="Normal 2 9 5" xfId="1724"/>
    <cellStyle name="Normal 2 9 6" xfId="2178"/>
    <cellStyle name="Normal 2 9 7" xfId="2631"/>
    <cellStyle name="Normal 2 9 8" xfId="1216"/>
    <cellStyle name="Normal 20" xfId="2573"/>
    <cellStyle name="Normal 21" xfId="1158"/>
    <cellStyle name="Normal 3" xfId="355"/>
    <cellStyle name="Normal 3 10" xfId="356"/>
    <cellStyle name="Normal 3 10 2" xfId="357"/>
    <cellStyle name="Normal 3 10 3" xfId="358"/>
    <cellStyle name="Normal 3 10 3 2" xfId="359"/>
    <cellStyle name="Normal 3 10 4" xfId="1075"/>
    <cellStyle name="Normal 3 10 4 2" xfId="1579"/>
    <cellStyle name="Normal 3 10 4 2 2" xfId="2034"/>
    <cellStyle name="Normal 3 10 4 2 3" xfId="2487"/>
    <cellStyle name="Normal 3 10 4 2 4" xfId="2940"/>
    <cellStyle name="Normal 3 10 4 3" xfId="1807"/>
    <cellStyle name="Normal 3 10 4 4" xfId="2261"/>
    <cellStyle name="Normal 3 10 4 5" xfId="2714"/>
    <cellStyle name="Normal 3 10 4 6" xfId="1344"/>
    <cellStyle name="Normal 3 10 5" xfId="1466"/>
    <cellStyle name="Normal 3 10 5 2" xfId="1921"/>
    <cellStyle name="Normal 3 10 5 3" xfId="2374"/>
    <cellStyle name="Normal 3 10 5 4" xfId="2827"/>
    <cellStyle name="Normal 3 10 6" xfId="1694"/>
    <cellStyle name="Normal 3 10 7" xfId="2148"/>
    <cellStyle name="Normal 3 10 8" xfId="2601"/>
    <cellStyle name="Normal 3 10 9" xfId="1186"/>
    <cellStyle name="Normal 3 11" xfId="360"/>
    <cellStyle name="Normal 3 11 2" xfId="361"/>
    <cellStyle name="Normal 3 11 2 2" xfId="1419"/>
    <cellStyle name="Normal 3 11 2 2 2" xfId="1654"/>
    <cellStyle name="Normal 3 11 2 2 2 2" xfId="2109"/>
    <cellStyle name="Normal 3 11 2 2 2 3" xfId="2562"/>
    <cellStyle name="Normal 3 11 2 2 2 4" xfId="3015"/>
    <cellStyle name="Normal 3 11 2 2 3" xfId="1882"/>
    <cellStyle name="Normal 3 11 2 2 4" xfId="2336"/>
    <cellStyle name="Normal 3 11 2 2 5" xfId="2789"/>
    <cellStyle name="Normal 3 11 2 3" xfId="1541"/>
    <cellStyle name="Normal 3 11 2 3 2" xfId="1996"/>
    <cellStyle name="Normal 3 11 2 3 3" xfId="2449"/>
    <cellStyle name="Normal 3 11 2 3 4" xfId="2902"/>
    <cellStyle name="Normal 3 11 2 4" xfId="1769"/>
    <cellStyle name="Normal 3 11 2 5" xfId="2223"/>
    <cellStyle name="Normal 3 11 2 6" xfId="2676"/>
    <cellStyle name="Normal 3 11 2 7" xfId="1261"/>
    <cellStyle name="Normal 3 11 3" xfId="1111"/>
    <cellStyle name="Normal 3 11 3 2" xfId="1602"/>
    <cellStyle name="Normal 3 11 3 2 2" xfId="2057"/>
    <cellStyle name="Normal 3 11 3 2 3" xfId="2510"/>
    <cellStyle name="Normal 3 11 3 2 4" xfId="2963"/>
    <cellStyle name="Normal 3 11 3 3" xfId="1830"/>
    <cellStyle name="Normal 3 11 3 4" xfId="2284"/>
    <cellStyle name="Normal 3 11 3 5" xfId="2737"/>
    <cellStyle name="Normal 3 11 3 6" xfId="1367"/>
    <cellStyle name="Normal 3 11 4" xfId="1489"/>
    <cellStyle name="Normal 3 11 4 2" xfId="1944"/>
    <cellStyle name="Normal 3 11 4 3" xfId="2397"/>
    <cellStyle name="Normal 3 11 4 4" xfId="2850"/>
    <cellStyle name="Normal 3 11 5" xfId="1717"/>
    <cellStyle name="Normal 3 11 6" xfId="2171"/>
    <cellStyle name="Normal 3 11 7" xfId="2624"/>
    <cellStyle name="Normal 3 11 8" xfId="1209"/>
    <cellStyle name="Normal 3 12" xfId="1044"/>
    <cellStyle name="Normal 3 12 2" xfId="1434"/>
    <cellStyle name="Normal 3 13" xfId="688"/>
    <cellStyle name="Normal 3 2" xfId="362"/>
    <cellStyle name="Normal 3 2 2" xfId="363"/>
    <cellStyle name="Normal 3 2 2 2" xfId="364"/>
    <cellStyle name="Normal 3 2 2 2 2" xfId="1400"/>
    <cellStyle name="Normal 3 2 2 2 2 2" xfId="1635"/>
    <cellStyle name="Normal 3 2 2 2 2 2 2" xfId="2090"/>
    <cellStyle name="Normal 3 2 2 2 2 2 3" xfId="2543"/>
    <cellStyle name="Normal 3 2 2 2 2 2 4" xfId="2996"/>
    <cellStyle name="Normal 3 2 2 2 2 3" xfId="1863"/>
    <cellStyle name="Normal 3 2 2 2 2 4" xfId="2317"/>
    <cellStyle name="Normal 3 2 2 2 2 5" xfId="2770"/>
    <cellStyle name="Normal 3 2 2 2 3" xfId="1522"/>
    <cellStyle name="Normal 3 2 2 2 3 2" xfId="1977"/>
    <cellStyle name="Normal 3 2 2 2 3 3" xfId="2430"/>
    <cellStyle name="Normal 3 2 2 2 3 4" xfId="2883"/>
    <cellStyle name="Normal 3 2 2 2 4" xfId="1750"/>
    <cellStyle name="Normal 3 2 2 2 5" xfId="2204"/>
    <cellStyle name="Normal 3 2 2 2 6" xfId="2657"/>
    <cellStyle name="Normal 3 2 2 2 7" xfId="1242"/>
    <cellStyle name="Normal 3 2 2 3" xfId="1342"/>
    <cellStyle name="Normal 3 2 2 3 2" xfId="1577"/>
    <cellStyle name="Normal 3 2 2 3 2 2" xfId="2032"/>
    <cellStyle name="Normal 3 2 2 3 2 3" xfId="2485"/>
    <cellStyle name="Normal 3 2 2 3 2 4" xfId="2938"/>
    <cellStyle name="Normal 3 2 2 3 3" xfId="1805"/>
    <cellStyle name="Normal 3 2 2 3 4" xfId="2259"/>
    <cellStyle name="Normal 3 2 2 3 5" xfId="2712"/>
    <cellStyle name="Normal 3 2 2 4" xfId="1464"/>
    <cellStyle name="Normal 3 2 2 4 2" xfId="1919"/>
    <cellStyle name="Normal 3 2 2 4 3" xfId="2372"/>
    <cellStyle name="Normal 3 2 2 4 4" xfId="2825"/>
    <cellStyle name="Normal 3 2 2 5" xfId="1692"/>
    <cellStyle name="Normal 3 2 2 6" xfId="2146"/>
    <cellStyle name="Normal 3 2 2 7" xfId="2599"/>
    <cellStyle name="Normal 3 2 2 8" xfId="1184"/>
    <cellStyle name="Normal 3 2 3" xfId="365"/>
    <cellStyle name="Normal 3 2 3 2" xfId="366"/>
    <cellStyle name="Normal 3 2 3 2 2" xfId="1398"/>
    <cellStyle name="Normal 3 2 3 2 2 2" xfId="1633"/>
    <cellStyle name="Normal 3 2 3 2 2 2 2" xfId="2088"/>
    <cellStyle name="Normal 3 2 3 2 2 2 3" xfId="2541"/>
    <cellStyle name="Normal 3 2 3 2 2 2 4" xfId="2994"/>
    <cellStyle name="Normal 3 2 3 2 2 3" xfId="1861"/>
    <cellStyle name="Normal 3 2 3 2 2 4" xfId="2315"/>
    <cellStyle name="Normal 3 2 3 2 2 5" xfId="2768"/>
    <cellStyle name="Normal 3 2 3 2 3" xfId="1520"/>
    <cellStyle name="Normal 3 2 3 2 3 2" xfId="1975"/>
    <cellStyle name="Normal 3 2 3 2 3 3" xfId="2428"/>
    <cellStyle name="Normal 3 2 3 2 3 4" xfId="2881"/>
    <cellStyle name="Normal 3 2 3 2 4" xfId="1748"/>
    <cellStyle name="Normal 3 2 3 2 5" xfId="2202"/>
    <cellStyle name="Normal 3 2 3 2 6" xfId="2655"/>
    <cellStyle name="Normal 3 2 3 2 7" xfId="1240"/>
    <cellStyle name="Normal 3 2 3 3" xfId="1070"/>
    <cellStyle name="Normal 3 2 3 3 2" xfId="1575"/>
    <cellStyle name="Normal 3 2 3 3 2 2" xfId="2030"/>
    <cellStyle name="Normal 3 2 3 3 2 3" xfId="2483"/>
    <cellStyle name="Normal 3 2 3 3 2 4" xfId="2936"/>
    <cellStyle name="Normal 3 2 3 3 3" xfId="1803"/>
    <cellStyle name="Normal 3 2 3 3 4" xfId="2257"/>
    <cellStyle name="Normal 3 2 3 3 5" xfId="2710"/>
    <cellStyle name="Normal 3 2 3 3 6" xfId="1340"/>
    <cellStyle name="Normal 3 2 3 4" xfId="1462"/>
    <cellStyle name="Normal 3 2 3 4 2" xfId="1917"/>
    <cellStyle name="Normal 3 2 3 4 3" xfId="2370"/>
    <cellStyle name="Normal 3 2 3 4 4" xfId="2823"/>
    <cellStyle name="Normal 3 2 3 5" xfId="1690"/>
    <cellStyle name="Normal 3 2 3 6" xfId="2144"/>
    <cellStyle name="Normal 3 2 3 7" xfId="2597"/>
    <cellStyle name="Normal 3 2 3 8" xfId="1182"/>
    <cellStyle name="Normal 3 2 4" xfId="367"/>
    <cellStyle name="Normal 3 2 4 2" xfId="368"/>
    <cellStyle name="Normal 3 2 4 2 2" xfId="369"/>
    <cellStyle name="Normal 3 2 4 3" xfId="370"/>
    <cellStyle name="Normal 3 2 4 3 2" xfId="371"/>
    <cellStyle name="Normal 3 2 4 3 2 2" xfId="941"/>
    <cellStyle name="Normal 3 2 4 3 2 3" xfId="882"/>
    <cellStyle name="Normal 3 2 4 4" xfId="1104"/>
    <cellStyle name="Normal 3 2 5" xfId="372"/>
    <cellStyle name="Normal 3 2 5 2" xfId="373"/>
    <cellStyle name="Normal 3 2 5 2 2" xfId="374"/>
    <cellStyle name="Normal 3 2 5 2 3" xfId="938"/>
    <cellStyle name="Normal 3 2 5 2 4" xfId="879"/>
    <cellStyle name="Normal 3 2 5 3" xfId="375"/>
    <cellStyle name="Normal 3 2 5 4" xfId="1117"/>
    <cellStyle name="Normal 3 2 6" xfId="708"/>
    <cellStyle name="Normal 3 3" xfId="376"/>
    <cellStyle name="Normal 3 3 2" xfId="377"/>
    <cellStyle name="Normal 3 3 2 2" xfId="378"/>
    <cellStyle name="Normal 3 3 2 2 2" xfId="1399"/>
    <cellStyle name="Normal 3 3 2 2 2 2" xfId="1634"/>
    <cellStyle name="Normal 3 3 2 2 2 2 2" xfId="2089"/>
    <cellStyle name="Normal 3 3 2 2 2 2 3" xfId="2542"/>
    <cellStyle name="Normal 3 3 2 2 2 2 4" xfId="2995"/>
    <cellStyle name="Normal 3 3 2 2 2 3" xfId="1862"/>
    <cellStyle name="Normal 3 3 2 2 2 4" xfId="2316"/>
    <cellStyle name="Normal 3 3 2 2 2 5" xfId="2769"/>
    <cellStyle name="Normal 3 3 2 2 3" xfId="1521"/>
    <cellStyle name="Normal 3 3 2 2 3 2" xfId="1976"/>
    <cellStyle name="Normal 3 3 2 2 3 3" xfId="2429"/>
    <cellStyle name="Normal 3 3 2 2 3 4" xfId="2882"/>
    <cellStyle name="Normal 3 3 2 2 4" xfId="1749"/>
    <cellStyle name="Normal 3 3 2 2 5" xfId="2203"/>
    <cellStyle name="Normal 3 3 2 2 6" xfId="2656"/>
    <cellStyle name="Normal 3 3 2 2 7" xfId="1241"/>
    <cellStyle name="Normal 3 3 2 3" xfId="1071"/>
    <cellStyle name="Normal 3 3 2 3 2" xfId="1576"/>
    <cellStyle name="Normal 3 3 2 3 2 2" xfId="2031"/>
    <cellStyle name="Normal 3 3 2 3 2 3" xfId="2484"/>
    <cellStyle name="Normal 3 3 2 3 2 4" xfId="2937"/>
    <cellStyle name="Normal 3 3 2 3 3" xfId="1804"/>
    <cellStyle name="Normal 3 3 2 3 4" xfId="2258"/>
    <cellStyle name="Normal 3 3 2 3 5" xfId="2711"/>
    <cellStyle name="Normal 3 3 2 3 6" xfId="1341"/>
    <cellStyle name="Normal 3 3 2 4" xfId="1463"/>
    <cellStyle name="Normal 3 3 2 4 2" xfId="1918"/>
    <cellStyle name="Normal 3 3 2 4 3" xfId="2371"/>
    <cellStyle name="Normal 3 3 2 4 4" xfId="2824"/>
    <cellStyle name="Normal 3 3 2 5" xfId="1691"/>
    <cellStyle name="Normal 3 3 2 6" xfId="2145"/>
    <cellStyle name="Normal 3 3 2 7" xfId="2598"/>
    <cellStyle name="Normal 3 3 2 8" xfId="1183"/>
    <cellStyle name="Normal 3 3 3" xfId="379"/>
    <cellStyle name="Normal 3 3 3 2" xfId="380"/>
    <cellStyle name="Normal 3 3 3 2 2" xfId="381"/>
    <cellStyle name="Normal 3 3 3 3" xfId="382"/>
    <cellStyle name="Normal 3 3 3 3 2" xfId="383"/>
    <cellStyle name="Normal 3 3 3 3 2 2" xfId="942"/>
    <cellStyle name="Normal 3 3 3 3 2 3" xfId="883"/>
    <cellStyle name="Normal 3 3 3 4" xfId="384"/>
    <cellStyle name="Normal 3 3 3 5" xfId="1103"/>
    <cellStyle name="Normal 3 3 4" xfId="385"/>
    <cellStyle name="Normal 3 3 4 2" xfId="386"/>
    <cellStyle name="Normal 3 3 4 2 2" xfId="937"/>
    <cellStyle name="Normal 3 3 4 2 3" xfId="878"/>
    <cellStyle name="Normal 3 3 4 3" xfId="387"/>
    <cellStyle name="Normal 3 4" xfId="388"/>
    <cellStyle name="Normal 3 4 2" xfId="389"/>
    <cellStyle name="Normal 3 4 2 2" xfId="390"/>
    <cellStyle name="Normal 3 4 3" xfId="391"/>
    <cellStyle name="Normal 3 5" xfId="392"/>
    <cellStyle name="Normal 3 5 2" xfId="393"/>
    <cellStyle name="Normal 3 6" xfId="394"/>
    <cellStyle name="Normal 3 6 2" xfId="395"/>
    <cellStyle name="Normal 3 6 2 2" xfId="396"/>
    <cellStyle name="Normal 3 6 3" xfId="397"/>
    <cellStyle name="Normal 3 7" xfId="398"/>
    <cellStyle name="Normal 3 7 2" xfId="399"/>
    <cellStyle name="Normal 3 7 2 2" xfId="400"/>
    <cellStyle name="Normal 3 7 2 2 2" xfId="1420"/>
    <cellStyle name="Normal 3 7 2 2 2 2" xfId="1655"/>
    <cellStyle name="Normal 3 7 2 2 2 2 2" xfId="2110"/>
    <cellStyle name="Normal 3 7 2 2 2 2 3" xfId="2563"/>
    <cellStyle name="Normal 3 7 2 2 2 2 4" xfId="3016"/>
    <cellStyle name="Normal 3 7 2 2 2 3" xfId="1883"/>
    <cellStyle name="Normal 3 7 2 2 2 4" xfId="2337"/>
    <cellStyle name="Normal 3 7 2 2 2 5" xfId="2790"/>
    <cellStyle name="Normal 3 7 2 2 3" xfId="1542"/>
    <cellStyle name="Normal 3 7 2 2 3 2" xfId="1997"/>
    <cellStyle name="Normal 3 7 2 2 3 3" xfId="2450"/>
    <cellStyle name="Normal 3 7 2 2 3 4" xfId="2903"/>
    <cellStyle name="Normal 3 7 2 2 4" xfId="1770"/>
    <cellStyle name="Normal 3 7 2 2 5" xfId="2224"/>
    <cellStyle name="Normal 3 7 2 2 6" xfId="2677"/>
    <cellStyle name="Normal 3 7 2 2 7" xfId="1262"/>
    <cellStyle name="Normal 3 7 2 3" xfId="1109"/>
    <cellStyle name="Normal 3 7 2 3 2" xfId="1600"/>
    <cellStyle name="Normal 3 7 2 3 2 2" xfId="2055"/>
    <cellStyle name="Normal 3 7 2 3 2 3" xfId="2508"/>
    <cellStyle name="Normal 3 7 2 3 2 4" xfId="2961"/>
    <cellStyle name="Normal 3 7 2 3 3" xfId="1828"/>
    <cellStyle name="Normal 3 7 2 3 4" xfId="2282"/>
    <cellStyle name="Normal 3 7 2 3 5" xfId="2735"/>
    <cellStyle name="Normal 3 7 2 3 6" xfId="1365"/>
    <cellStyle name="Normal 3 7 2 4" xfId="1487"/>
    <cellStyle name="Normal 3 7 2 4 2" xfId="1942"/>
    <cellStyle name="Normal 3 7 2 4 3" xfId="2395"/>
    <cellStyle name="Normal 3 7 2 4 4" xfId="2848"/>
    <cellStyle name="Normal 3 7 2 5" xfId="1715"/>
    <cellStyle name="Normal 3 7 2 6" xfId="2169"/>
    <cellStyle name="Normal 3 7 2 7" xfId="2622"/>
    <cellStyle name="Normal 3 7 2 8" xfId="1207"/>
    <cellStyle name="Normal 3 7 3" xfId="401"/>
    <cellStyle name="Normal 3 7 3 2" xfId="1395"/>
    <cellStyle name="Normal 3 7 3 2 2" xfId="1630"/>
    <cellStyle name="Normal 3 7 3 2 2 2" xfId="2085"/>
    <cellStyle name="Normal 3 7 3 2 2 3" xfId="2538"/>
    <cellStyle name="Normal 3 7 3 2 2 4" xfId="2991"/>
    <cellStyle name="Normal 3 7 3 2 3" xfId="1858"/>
    <cellStyle name="Normal 3 7 3 2 4" xfId="2312"/>
    <cellStyle name="Normal 3 7 3 2 5" xfId="2765"/>
    <cellStyle name="Normal 3 7 3 3" xfId="1517"/>
    <cellStyle name="Normal 3 7 3 3 2" xfId="1972"/>
    <cellStyle name="Normal 3 7 3 3 3" xfId="2425"/>
    <cellStyle name="Normal 3 7 3 3 4" xfId="2878"/>
    <cellStyle name="Normal 3 7 3 4" xfId="1745"/>
    <cellStyle name="Normal 3 7 3 5" xfId="2199"/>
    <cellStyle name="Normal 3 7 3 6" xfId="2652"/>
    <cellStyle name="Normal 3 7 3 7" xfId="1237"/>
    <cellStyle name="Normal 3 7 4" xfId="1067"/>
    <cellStyle name="Normal 3 7 4 2" xfId="1571"/>
    <cellStyle name="Normal 3 7 4 2 2" xfId="2026"/>
    <cellStyle name="Normal 3 7 4 2 3" xfId="2479"/>
    <cellStyle name="Normal 3 7 4 2 4" xfId="2932"/>
    <cellStyle name="Normal 3 7 4 3" xfId="1799"/>
    <cellStyle name="Normal 3 7 4 4" xfId="2253"/>
    <cellStyle name="Normal 3 7 4 5" xfId="2706"/>
    <cellStyle name="Normal 3 7 4 6" xfId="1336"/>
    <cellStyle name="Normal 3 7 5" xfId="1458"/>
    <cellStyle name="Normal 3 7 5 2" xfId="1913"/>
    <cellStyle name="Normal 3 7 5 3" xfId="2366"/>
    <cellStyle name="Normal 3 7 5 4" xfId="2819"/>
    <cellStyle name="Normal 3 7 6" xfId="1686"/>
    <cellStyle name="Normal 3 7 7" xfId="2140"/>
    <cellStyle name="Normal 3 7 8" xfId="2593"/>
    <cellStyle name="Normal 3 7 9" xfId="1178"/>
    <cellStyle name="Normal 3 8" xfId="402"/>
    <cellStyle name="Normal 3 8 2" xfId="403"/>
    <cellStyle name="Normal 3 9" xfId="404"/>
    <cellStyle name="Normal 3 9 2" xfId="405"/>
    <cellStyle name="Normal 3_SQIndex" xfId="406"/>
    <cellStyle name="Normal 4" xfId="407"/>
    <cellStyle name="Normal 4 10" xfId="408"/>
    <cellStyle name="Normal 4 10 2" xfId="1048"/>
    <cellStyle name="Normal 4 10 3" xfId="1121"/>
    <cellStyle name="Normal 4 11" xfId="680"/>
    <cellStyle name="Normal 4 12" xfId="689"/>
    <cellStyle name="Normal 4 2" xfId="409"/>
    <cellStyle name="Normal 4 2 2" xfId="410"/>
    <cellStyle name="Normal 4 3" xfId="411"/>
    <cellStyle name="Normal 4 3 2" xfId="412"/>
    <cellStyle name="Normal 4 3 3" xfId="1157"/>
    <cellStyle name="Normal 4 3 4" xfId="709"/>
    <cellStyle name="Normal 4 3 5" xfId="684"/>
    <cellStyle name="Normal 4 4" xfId="413"/>
    <cellStyle name="Normal 4 4 2" xfId="414"/>
    <cellStyle name="Normal 4 4 2 2" xfId="415"/>
    <cellStyle name="Normal 4 4 2 2 2" xfId="416"/>
    <cellStyle name="Normal 4 4 2 3" xfId="417"/>
    <cellStyle name="Normal 4 4 2 3 2" xfId="418"/>
    <cellStyle name="Normal 4 4 2 3 2 2" xfId="943"/>
    <cellStyle name="Normal 4 4 2 3 2 3" xfId="884"/>
    <cellStyle name="Normal 4 4 3" xfId="419"/>
    <cellStyle name="Normal 4 4 3 2" xfId="420"/>
    <cellStyle name="Normal 4 4 3 2 2" xfId="935"/>
    <cellStyle name="Normal 4 4 3 2 3" xfId="876"/>
    <cellStyle name="Normal 4 4 3 3" xfId="421"/>
    <cellStyle name="Normal 4 5" xfId="422"/>
    <cellStyle name="Normal 4 5 2" xfId="423"/>
    <cellStyle name="Normal 4 5 2 2" xfId="1396"/>
    <cellStyle name="Normal 4 5 2 2 2" xfId="1631"/>
    <cellStyle name="Normal 4 5 2 2 2 2" xfId="2086"/>
    <cellStyle name="Normal 4 5 2 2 2 3" xfId="2539"/>
    <cellStyle name="Normal 4 5 2 2 2 4" xfId="2992"/>
    <cellStyle name="Normal 4 5 2 2 3" xfId="1859"/>
    <cellStyle name="Normal 4 5 2 2 4" xfId="2313"/>
    <cellStyle name="Normal 4 5 2 2 5" xfId="2766"/>
    <cellStyle name="Normal 4 5 2 3" xfId="1518"/>
    <cellStyle name="Normal 4 5 2 3 2" xfId="1973"/>
    <cellStyle name="Normal 4 5 2 3 3" xfId="2426"/>
    <cellStyle name="Normal 4 5 2 3 4" xfId="2879"/>
    <cellStyle name="Normal 4 5 2 4" xfId="1746"/>
    <cellStyle name="Normal 4 5 2 5" xfId="2200"/>
    <cellStyle name="Normal 4 5 2 6" xfId="2653"/>
    <cellStyle name="Normal 4 5 2 7" xfId="1238"/>
    <cellStyle name="Normal 4 5 3" xfId="1068"/>
    <cellStyle name="Normal 4 5 3 2" xfId="1572"/>
    <cellStyle name="Normal 4 5 3 2 2" xfId="2027"/>
    <cellStyle name="Normal 4 5 3 2 3" xfId="2480"/>
    <cellStyle name="Normal 4 5 3 2 4" xfId="2933"/>
    <cellStyle name="Normal 4 5 3 3" xfId="1800"/>
    <cellStyle name="Normal 4 5 3 4" xfId="2254"/>
    <cellStyle name="Normal 4 5 3 5" xfId="2707"/>
    <cellStyle name="Normal 4 5 3 6" xfId="1337"/>
    <cellStyle name="Normal 4 5 4" xfId="1459"/>
    <cellStyle name="Normal 4 5 4 2" xfId="1914"/>
    <cellStyle name="Normal 4 5 4 3" xfId="2367"/>
    <cellStyle name="Normal 4 5 4 4" xfId="2820"/>
    <cellStyle name="Normal 4 5 5" xfId="1687"/>
    <cellStyle name="Normal 4 5 6" xfId="2141"/>
    <cellStyle name="Normal 4 5 7" xfId="2594"/>
    <cellStyle name="Normal 4 5 8" xfId="1179"/>
    <cellStyle name="Normal 4 6" xfId="424"/>
    <cellStyle name="Normal 4 7" xfId="425"/>
    <cellStyle name="Normal 4 8" xfId="426"/>
    <cellStyle name="Normal 4 8 2" xfId="427"/>
    <cellStyle name="Normal 4 8 3" xfId="428"/>
    <cellStyle name="Normal 4 8 4" xfId="1080"/>
    <cellStyle name="Normal 4 9" xfId="429"/>
    <cellStyle name="Normal 4 9 2" xfId="1435"/>
    <cellStyle name="Normal 4_SQIndex" xfId="430"/>
    <cellStyle name="Normal 5" xfId="431"/>
    <cellStyle name="Normal 5 2" xfId="432"/>
    <cellStyle name="Normal 5 2 2" xfId="433"/>
    <cellStyle name="Normal 5 2 2 2" xfId="434"/>
    <cellStyle name="Normal 5 2 2 2 2" xfId="1421"/>
    <cellStyle name="Normal 5 2 2 2 2 2" xfId="1656"/>
    <cellStyle name="Normal 5 2 2 2 2 2 2" xfId="2111"/>
    <cellStyle name="Normal 5 2 2 2 2 2 3" xfId="2564"/>
    <cellStyle name="Normal 5 2 2 2 2 2 4" xfId="3017"/>
    <cellStyle name="Normal 5 2 2 2 2 3" xfId="1884"/>
    <cellStyle name="Normal 5 2 2 2 2 4" xfId="2338"/>
    <cellStyle name="Normal 5 2 2 2 2 5" xfId="2791"/>
    <cellStyle name="Normal 5 2 2 2 3" xfId="1543"/>
    <cellStyle name="Normal 5 2 2 2 3 2" xfId="1998"/>
    <cellStyle name="Normal 5 2 2 2 3 3" xfId="2451"/>
    <cellStyle name="Normal 5 2 2 2 3 4" xfId="2904"/>
    <cellStyle name="Normal 5 2 2 2 4" xfId="1771"/>
    <cellStyle name="Normal 5 2 2 2 5" xfId="2225"/>
    <cellStyle name="Normal 5 2 2 2 6" xfId="2678"/>
    <cellStyle name="Normal 5 2 2 2 7" xfId="1263"/>
    <cellStyle name="Normal 5 2 2 3" xfId="1105"/>
    <cellStyle name="Normal 5 2 2 3 2" xfId="1597"/>
    <cellStyle name="Normal 5 2 2 3 2 2" xfId="2052"/>
    <cellStyle name="Normal 5 2 2 3 2 3" xfId="2505"/>
    <cellStyle name="Normal 5 2 2 3 2 4" xfId="2958"/>
    <cellStyle name="Normal 5 2 2 3 3" xfId="1825"/>
    <cellStyle name="Normal 5 2 2 3 4" xfId="2279"/>
    <cellStyle name="Normal 5 2 2 3 5" xfId="2732"/>
    <cellStyle name="Normal 5 2 2 3 6" xfId="1362"/>
    <cellStyle name="Normal 5 2 2 4" xfId="1484"/>
    <cellStyle name="Normal 5 2 2 4 2" xfId="1939"/>
    <cellStyle name="Normal 5 2 2 4 3" xfId="2392"/>
    <cellStyle name="Normal 5 2 2 4 4" xfId="2845"/>
    <cellStyle name="Normal 5 2 2 5" xfId="1712"/>
    <cellStyle name="Normal 5 2 2 6" xfId="2166"/>
    <cellStyle name="Normal 5 2 2 7" xfId="2619"/>
    <cellStyle name="Normal 5 2 2 8" xfId="1204"/>
    <cellStyle name="Normal 5 2 3" xfId="435"/>
    <cellStyle name="Normal 5 2 3 2" xfId="1392"/>
    <cellStyle name="Normal 5 2 3 2 2" xfId="1627"/>
    <cellStyle name="Normal 5 2 3 2 2 2" xfId="2082"/>
    <cellStyle name="Normal 5 2 3 2 2 3" xfId="2535"/>
    <cellStyle name="Normal 5 2 3 2 2 4" xfId="2988"/>
    <cellStyle name="Normal 5 2 3 2 3" xfId="1855"/>
    <cellStyle name="Normal 5 2 3 2 4" xfId="2309"/>
    <cellStyle name="Normal 5 2 3 2 5" xfId="2762"/>
    <cellStyle name="Normal 5 2 3 3" xfId="1514"/>
    <cellStyle name="Normal 5 2 3 3 2" xfId="1969"/>
    <cellStyle name="Normal 5 2 3 3 3" xfId="2422"/>
    <cellStyle name="Normal 5 2 3 3 4" xfId="2875"/>
    <cellStyle name="Normal 5 2 3 4" xfId="1742"/>
    <cellStyle name="Normal 5 2 3 5" xfId="2196"/>
    <cellStyle name="Normal 5 2 3 6" xfId="2649"/>
    <cellStyle name="Normal 5 2 3 7" xfId="1234"/>
    <cellStyle name="Normal 5 2 4" xfId="1333"/>
    <cellStyle name="Normal 5 2 4 2" xfId="1568"/>
    <cellStyle name="Normal 5 2 4 2 2" xfId="2023"/>
    <cellStyle name="Normal 5 2 4 2 3" xfId="2476"/>
    <cellStyle name="Normal 5 2 4 2 4" xfId="2929"/>
    <cellStyle name="Normal 5 2 4 3" xfId="1796"/>
    <cellStyle name="Normal 5 2 4 4" xfId="2250"/>
    <cellStyle name="Normal 5 2 4 5" xfId="2703"/>
    <cellStyle name="Normal 5 2 5" xfId="1455"/>
    <cellStyle name="Normal 5 2 5 2" xfId="1910"/>
    <cellStyle name="Normal 5 2 5 3" xfId="2363"/>
    <cellStyle name="Normal 5 2 5 4" xfId="2816"/>
    <cellStyle name="Normal 5 2 6" xfId="1683"/>
    <cellStyle name="Normal 5 2 7" xfId="2137"/>
    <cellStyle name="Normal 5 2 8" xfId="2590"/>
    <cellStyle name="Normal 5 2 9" xfId="1175"/>
    <cellStyle name="Normal 5 3" xfId="436"/>
    <cellStyle name="Normal 5 3 2" xfId="437"/>
    <cellStyle name="Normal 5 3 2 2" xfId="438"/>
    <cellStyle name="Normal 5 3 2 2 2" xfId="439"/>
    <cellStyle name="Normal 5 3 2 3" xfId="440"/>
    <cellStyle name="Normal 5 3 2 3 2" xfId="441"/>
    <cellStyle name="Normal 5 3 2 3 2 2" xfId="944"/>
    <cellStyle name="Normal 5 3 2 3 2 3" xfId="885"/>
    <cellStyle name="Normal 5 3 3" xfId="442"/>
    <cellStyle name="Normal 5 3 3 2" xfId="443"/>
    <cellStyle name="Normal 5 3 3 2 2" xfId="939"/>
    <cellStyle name="Normal 5 3 3 2 3" xfId="880"/>
    <cellStyle name="Normal 5 3 3 3" xfId="444"/>
    <cellStyle name="Normal 5 4" xfId="445"/>
    <cellStyle name="Normal 5 4 2" xfId="446"/>
    <cellStyle name="Normal 5 4 2 2" xfId="447"/>
    <cellStyle name="Normal 5 4 2 2 2" xfId="448"/>
    <cellStyle name="Normal 5 4 2 3" xfId="449"/>
    <cellStyle name="Normal 5 4 2 3 2" xfId="450"/>
    <cellStyle name="Normal 5 4 2 3 2 2" xfId="945"/>
    <cellStyle name="Normal 5 4 2 3 2 3" xfId="886"/>
    <cellStyle name="Normal 5 4 3" xfId="451"/>
    <cellStyle name="Normal 5 4 3 2" xfId="452"/>
    <cellStyle name="Normal 5 4 3 2 2" xfId="936"/>
    <cellStyle name="Normal 5 4 3 2 3" xfId="877"/>
    <cellStyle name="Normal 5 4 3 3" xfId="453"/>
    <cellStyle name="Normal 5 5" xfId="454"/>
    <cellStyle name="Normal 5 6" xfId="455"/>
    <cellStyle name="Normal 5 6 2" xfId="456"/>
    <cellStyle name="Normal 5 6 2 2" xfId="1422"/>
    <cellStyle name="Normal 5 6 2 2 2" xfId="1657"/>
    <cellStyle name="Normal 5 6 2 2 2 2" xfId="2112"/>
    <cellStyle name="Normal 5 6 2 2 2 3" xfId="2565"/>
    <cellStyle name="Normal 5 6 2 2 2 4" xfId="3018"/>
    <cellStyle name="Normal 5 6 2 2 3" xfId="1885"/>
    <cellStyle name="Normal 5 6 2 2 4" xfId="2339"/>
    <cellStyle name="Normal 5 6 2 2 5" xfId="2792"/>
    <cellStyle name="Normal 5 6 2 3" xfId="1544"/>
    <cellStyle name="Normal 5 6 2 3 2" xfId="1999"/>
    <cellStyle name="Normal 5 6 2 3 3" xfId="2452"/>
    <cellStyle name="Normal 5 6 2 3 4" xfId="2905"/>
    <cellStyle name="Normal 5 6 2 4" xfId="1772"/>
    <cellStyle name="Normal 5 6 2 5" xfId="2226"/>
    <cellStyle name="Normal 5 6 2 6" xfId="2679"/>
    <cellStyle name="Normal 5 6 2 7" xfId="1264"/>
    <cellStyle name="Normal 5 6 3" xfId="457"/>
    <cellStyle name="Normal 5 6 3 2" xfId="1403"/>
    <cellStyle name="Normal 5 6 3 2 2" xfId="1638"/>
    <cellStyle name="Normal 5 6 3 2 2 2" xfId="2093"/>
    <cellStyle name="Normal 5 6 3 2 2 3" xfId="2546"/>
    <cellStyle name="Normal 5 6 3 2 2 4" xfId="2999"/>
    <cellStyle name="Normal 5 6 3 2 3" xfId="1866"/>
    <cellStyle name="Normal 5 6 3 2 4" xfId="2320"/>
    <cellStyle name="Normal 5 6 3 2 5" xfId="2773"/>
    <cellStyle name="Normal 5 6 3 3" xfId="1525"/>
    <cellStyle name="Normal 5 6 3 3 2" xfId="1980"/>
    <cellStyle name="Normal 5 6 3 3 3" xfId="2433"/>
    <cellStyle name="Normal 5 6 3 3 4" xfId="2886"/>
    <cellStyle name="Normal 5 6 3 4" xfId="1753"/>
    <cellStyle name="Normal 5 6 3 5" xfId="2207"/>
    <cellStyle name="Normal 5 6 3 6" xfId="2660"/>
    <cellStyle name="Normal 5 6 3 7" xfId="1245"/>
    <cellStyle name="Normal 5 6 4" xfId="458"/>
    <cellStyle name="Normal 5 6 5" xfId="1081"/>
    <cellStyle name="Normal 5 7" xfId="459"/>
    <cellStyle name="Normal 5 7 2" xfId="1294"/>
    <cellStyle name="Normal 5 8" xfId="682"/>
    <cellStyle name="Normal 5 8 2" xfId="1437"/>
    <cellStyle name="Normal 5 9" xfId="691"/>
    <cellStyle name="Normal 6" xfId="460"/>
    <cellStyle name="Normal 6 2" xfId="461"/>
    <cellStyle name="Normal 6 2 2" xfId="462"/>
    <cellStyle name="Normal 6 3" xfId="463"/>
    <cellStyle name="Normal 6 3 2" xfId="464"/>
    <cellStyle name="Normal 6 3 2 2" xfId="1428"/>
    <cellStyle name="Normal 6 3 2 2 2" xfId="1663"/>
    <cellStyle name="Normal 6 3 2 2 2 2" xfId="2118"/>
    <cellStyle name="Normal 6 3 2 2 2 3" xfId="2571"/>
    <cellStyle name="Normal 6 3 2 2 2 4" xfId="3024"/>
    <cellStyle name="Normal 6 3 2 2 3" xfId="1891"/>
    <cellStyle name="Normal 6 3 2 2 4" xfId="2345"/>
    <cellStyle name="Normal 6 3 2 2 5" xfId="2798"/>
    <cellStyle name="Normal 6 3 2 3" xfId="1550"/>
    <cellStyle name="Normal 6 3 2 3 2" xfId="2005"/>
    <cellStyle name="Normal 6 3 2 3 3" xfId="2458"/>
    <cellStyle name="Normal 6 3 2 3 4" xfId="2911"/>
    <cellStyle name="Normal 6 3 2 4" xfId="1778"/>
    <cellStyle name="Normal 6 3 2 5" xfId="2232"/>
    <cellStyle name="Normal 6 3 2 6" xfId="2685"/>
    <cellStyle name="Normal 6 3 2 7" xfId="1270"/>
    <cellStyle name="Normal 6 3 3" xfId="465"/>
    <cellStyle name="Normal 6 3 4" xfId="1082"/>
    <cellStyle name="Normal 6 4" xfId="466"/>
    <cellStyle name="Normal 6 4 2" xfId="467"/>
    <cellStyle name="Normal 6 5" xfId="468"/>
    <cellStyle name="Normal 6 5 2" xfId="469"/>
    <cellStyle name="Normal 6 5 2 2" xfId="1662"/>
    <cellStyle name="Normal 6 5 2 2 2" xfId="2117"/>
    <cellStyle name="Normal 6 5 2 2 3" xfId="2570"/>
    <cellStyle name="Normal 6 5 2 2 4" xfId="3023"/>
    <cellStyle name="Normal 6 5 2 3" xfId="1890"/>
    <cellStyle name="Normal 6 5 2 4" xfId="2344"/>
    <cellStyle name="Normal 6 5 2 5" xfId="2797"/>
    <cellStyle name="Normal 6 5 2 6" xfId="1427"/>
    <cellStyle name="Normal 6 5 3" xfId="1118"/>
    <cellStyle name="Normal 6 5 3 2" xfId="2004"/>
    <cellStyle name="Normal 6 5 3 3" xfId="2457"/>
    <cellStyle name="Normal 6 5 3 4" xfId="2910"/>
    <cellStyle name="Normal 6 5 3 5" xfId="1549"/>
    <cellStyle name="Normal 6 5 4" xfId="1777"/>
    <cellStyle name="Normal 6 5 5" xfId="2231"/>
    <cellStyle name="Normal 6 5 6" xfId="2684"/>
    <cellStyle name="Normal 6 5 7" xfId="1269"/>
    <cellStyle name="Normal 6 6" xfId="470"/>
    <cellStyle name="Normal 6 6 2" xfId="1295"/>
    <cellStyle name="Normal 6 7" xfId="692"/>
    <cellStyle name="Normal 7" xfId="471"/>
    <cellStyle name="Normal 7 2" xfId="472"/>
    <cellStyle name="Normal 7 2 2" xfId="473"/>
    <cellStyle name="Normal 7 2 2 2" xfId="474"/>
    <cellStyle name="Normal 7 2 2 2 2" xfId="1423"/>
    <cellStyle name="Normal 7 2 2 2 2 2" xfId="1658"/>
    <cellStyle name="Normal 7 2 2 2 2 2 2" xfId="2113"/>
    <cellStyle name="Normal 7 2 2 2 2 2 3" xfId="2566"/>
    <cellStyle name="Normal 7 2 2 2 2 2 4" xfId="3019"/>
    <cellStyle name="Normal 7 2 2 2 2 3" xfId="1886"/>
    <cellStyle name="Normal 7 2 2 2 2 4" xfId="2340"/>
    <cellStyle name="Normal 7 2 2 2 2 5" xfId="2793"/>
    <cellStyle name="Normal 7 2 2 2 3" xfId="1545"/>
    <cellStyle name="Normal 7 2 2 2 3 2" xfId="2000"/>
    <cellStyle name="Normal 7 2 2 2 3 3" xfId="2453"/>
    <cellStyle name="Normal 7 2 2 2 3 4" xfId="2906"/>
    <cellStyle name="Normal 7 2 2 2 4" xfId="1773"/>
    <cellStyle name="Normal 7 2 2 2 5" xfId="2227"/>
    <cellStyle name="Normal 7 2 2 2 6" xfId="2680"/>
    <cellStyle name="Normal 7 2 2 2 7" xfId="1265"/>
    <cellStyle name="Normal 7 2 2 3" xfId="1106"/>
    <cellStyle name="Normal 7 2 2 3 2" xfId="1598"/>
    <cellStyle name="Normal 7 2 2 3 2 2" xfId="2053"/>
    <cellStyle name="Normal 7 2 2 3 2 3" xfId="2506"/>
    <cellStyle name="Normal 7 2 2 3 2 4" xfId="2959"/>
    <cellStyle name="Normal 7 2 2 3 3" xfId="1826"/>
    <cellStyle name="Normal 7 2 2 3 4" xfId="2280"/>
    <cellStyle name="Normal 7 2 2 3 5" xfId="2733"/>
    <cellStyle name="Normal 7 2 2 3 6" xfId="1363"/>
    <cellStyle name="Normal 7 2 2 4" xfId="1485"/>
    <cellStyle name="Normal 7 2 2 4 2" xfId="1940"/>
    <cellStyle name="Normal 7 2 2 4 3" xfId="2393"/>
    <cellStyle name="Normal 7 2 2 4 4" xfId="2846"/>
    <cellStyle name="Normal 7 2 2 5" xfId="1713"/>
    <cellStyle name="Normal 7 2 2 6" xfId="2167"/>
    <cellStyle name="Normal 7 2 2 7" xfId="2620"/>
    <cellStyle name="Normal 7 2 2 8" xfId="1205"/>
    <cellStyle name="Normal 7 2 3" xfId="475"/>
    <cellStyle name="Normal 7 2 3 2" xfId="1393"/>
    <cellStyle name="Normal 7 2 3 2 2" xfId="1628"/>
    <cellStyle name="Normal 7 2 3 2 2 2" xfId="2083"/>
    <cellStyle name="Normal 7 2 3 2 2 3" xfId="2536"/>
    <cellStyle name="Normal 7 2 3 2 2 4" xfId="2989"/>
    <cellStyle name="Normal 7 2 3 2 3" xfId="1856"/>
    <cellStyle name="Normal 7 2 3 2 4" xfId="2310"/>
    <cellStyle name="Normal 7 2 3 2 5" xfId="2763"/>
    <cellStyle name="Normal 7 2 3 3" xfId="1515"/>
    <cellStyle name="Normal 7 2 3 3 2" xfId="1970"/>
    <cellStyle name="Normal 7 2 3 3 3" xfId="2423"/>
    <cellStyle name="Normal 7 2 3 3 4" xfId="2876"/>
    <cellStyle name="Normal 7 2 3 4" xfId="1743"/>
    <cellStyle name="Normal 7 2 3 5" xfId="2197"/>
    <cellStyle name="Normal 7 2 3 6" xfId="2650"/>
    <cellStyle name="Normal 7 2 3 7" xfId="1235"/>
    <cellStyle name="Normal 7 2 4" xfId="681"/>
    <cellStyle name="Normal 7 2 4 2" xfId="1569"/>
    <cellStyle name="Normal 7 2 4 2 2" xfId="2024"/>
    <cellStyle name="Normal 7 2 4 2 3" xfId="2477"/>
    <cellStyle name="Normal 7 2 4 2 4" xfId="2930"/>
    <cellStyle name="Normal 7 2 4 3" xfId="1797"/>
    <cellStyle name="Normal 7 2 4 4" xfId="2251"/>
    <cellStyle name="Normal 7 2 4 5" xfId="2704"/>
    <cellStyle name="Normal 7 2 4 6" xfId="1334"/>
    <cellStyle name="Normal 7 2 5" xfId="710"/>
    <cellStyle name="Normal 7 2 5 2" xfId="1911"/>
    <cellStyle name="Normal 7 2 5 3" xfId="2364"/>
    <cellStyle name="Normal 7 2 5 4" xfId="2817"/>
    <cellStyle name="Normal 7 2 5 5" xfId="1456"/>
    <cellStyle name="Normal 7 2 6" xfId="1684"/>
    <cellStyle name="Normal 7 2 7" xfId="2138"/>
    <cellStyle name="Normal 7 2 8" xfId="2591"/>
    <cellStyle name="Normal 7 2 9" xfId="1176"/>
    <cellStyle name="Normal 7 3" xfId="476"/>
    <cellStyle name="Normal 7 3 2" xfId="477"/>
    <cellStyle name="Normal 7 4" xfId="478"/>
    <cellStyle name="Normal 7 4 2" xfId="479"/>
    <cellStyle name="Normal 7 4 2 2" xfId="480"/>
    <cellStyle name="Normal 7 4 3" xfId="1076"/>
    <cellStyle name="Normal 7 4 3 2" xfId="1580"/>
    <cellStyle name="Normal 7 4 3 2 2" xfId="2035"/>
    <cellStyle name="Normal 7 4 3 2 3" xfId="2488"/>
    <cellStyle name="Normal 7 4 3 2 4" xfId="2941"/>
    <cellStyle name="Normal 7 4 3 3" xfId="1808"/>
    <cellStyle name="Normal 7 4 3 4" xfId="2262"/>
    <cellStyle name="Normal 7 4 3 5" xfId="2715"/>
    <cellStyle name="Normal 7 4 3 6" xfId="1345"/>
    <cellStyle name="Normal 7 4 4" xfId="1467"/>
    <cellStyle name="Normal 7 4 4 2" xfId="1922"/>
    <cellStyle name="Normal 7 4 4 3" xfId="2375"/>
    <cellStyle name="Normal 7 4 4 4" xfId="2828"/>
    <cellStyle name="Normal 7 4 5" xfId="1695"/>
    <cellStyle name="Normal 7 4 6" xfId="2149"/>
    <cellStyle name="Normal 7 4 7" xfId="2602"/>
    <cellStyle name="Normal 7 4 8" xfId="1187"/>
    <cellStyle name="Normal 7 5" xfId="481"/>
    <cellStyle name="Normal 7 5 2" xfId="1120"/>
    <cellStyle name="Normal 7 5 3" xfId="1436"/>
    <cellStyle name="Normal 7 6" xfId="1045"/>
    <cellStyle name="Normal 7 6 2" xfId="1664"/>
    <cellStyle name="Normal 7 6 2 2" xfId="2572"/>
    <cellStyle name="Normal 7 6 2 3" xfId="2119"/>
    <cellStyle name="Normal 7 6 3" xfId="1893"/>
    <cellStyle name="Normal 7 6 4" xfId="1665"/>
    <cellStyle name="Normal 7 6 5" xfId="1432"/>
    <cellStyle name="Normal 7 7" xfId="690"/>
    <cellStyle name="Normal 7_SQIndex" xfId="482"/>
    <cellStyle name="Normal 8" xfId="483"/>
    <cellStyle name="Normal 8 10" xfId="484"/>
    <cellStyle name="Normal 8 11" xfId="485"/>
    <cellStyle name="Normal 8 12" xfId="1042"/>
    <cellStyle name="Normal 8 13" xfId="686"/>
    <cellStyle name="Normal 8 14" xfId="683"/>
    <cellStyle name="Normal 8 2" xfId="486"/>
    <cellStyle name="Normal 8 2 2" xfId="487"/>
    <cellStyle name="Normal 8 3" xfId="488"/>
    <cellStyle name="Normal 8 3 10" xfId="489"/>
    <cellStyle name="Normal 8 3 10 2" xfId="771"/>
    <cellStyle name="Normal 8 3 11" xfId="490"/>
    <cellStyle name="Normal 8 3 11 2" xfId="788"/>
    <cellStyle name="Normal 8 3 2" xfId="491"/>
    <cellStyle name="Normal 8 3 2 2" xfId="492"/>
    <cellStyle name="Normal 8 3 2 2 2" xfId="493"/>
    <cellStyle name="Normal 8 3 2 2 2 2" xfId="494"/>
    <cellStyle name="Normal 8 3 2 2 2 2 2" xfId="495"/>
    <cellStyle name="Normal 8 3 2 2 2 2 2 2" xfId="838"/>
    <cellStyle name="Normal 8 3 2 2 2 3" xfId="496"/>
    <cellStyle name="Normal 8 3 2 2 2 3 2" xfId="806"/>
    <cellStyle name="Normal 8 3 2 2 3" xfId="497"/>
    <cellStyle name="Normal 8 3 2 2 3 2" xfId="498"/>
    <cellStyle name="Normal 8 3 2 2 3 2 2" xfId="837"/>
    <cellStyle name="Normal 8 3 2 2 4" xfId="499"/>
    <cellStyle name="Normal 8 3 2 2 4 2" xfId="794"/>
    <cellStyle name="Normal 8 3 2 3" xfId="500"/>
    <cellStyle name="Normal 8 3 2 3 2" xfId="501"/>
    <cellStyle name="Normal 8 3 2 3 2 2" xfId="502"/>
    <cellStyle name="Normal 8 3 2 3 2 2 2" xfId="503"/>
    <cellStyle name="Normal 8 3 2 3 2 2 2 2" xfId="840"/>
    <cellStyle name="Normal 8 3 2 3 2 3" xfId="504"/>
    <cellStyle name="Normal 8 3 2 3 2 3 2" xfId="810"/>
    <cellStyle name="Normal 8 3 2 3 3" xfId="505"/>
    <cellStyle name="Normal 8 3 2 3 3 2" xfId="506"/>
    <cellStyle name="Normal 8 3 2 3 3 2 2" xfId="839"/>
    <cellStyle name="Normal 8 3 2 3 4" xfId="507"/>
    <cellStyle name="Normal 8 3 2 3 4 2" xfId="798"/>
    <cellStyle name="Normal 8 3 2 4" xfId="508"/>
    <cellStyle name="Normal 8 3 2 4 2" xfId="509"/>
    <cellStyle name="Normal 8 3 2 4 2 2" xfId="510"/>
    <cellStyle name="Normal 8 3 2 4 2 2 2" xfId="841"/>
    <cellStyle name="Normal 8 3 2 4 3" xfId="511"/>
    <cellStyle name="Normal 8 3 2 4 3 2" xfId="802"/>
    <cellStyle name="Normal 8 3 2 5" xfId="512"/>
    <cellStyle name="Normal 8 3 2 5 2" xfId="513"/>
    <cellStyle name="Normal 8 3 2 5 2 2" xfId="836"/>
    <cellStyle name="Normal 8 3 2 6" xfId="514"/>
    <cellStyle name="Normal 8 3 2 6 2" xfId="790"/>
    <cellStyle name="Normal 8 3 3" xfId="515"/>
    <cellStyle name="Normal 8 3 3 2" xfId="516"/>
    <cellStyle name="Normal 8 3 3 2 2" xfId="517"/>
    <cellStyle name="Normal 8 3 3 2 2 2" xfId="518"/>
    <cellStyle name="Normal 8 3 3 2 2 2 2" xfId="519"/>
    <cellStyle name="Normal 8 3 3 2 2 2 2 2" xfId="844"/>
    <cellStyle name="Normal 8 3 3 2 2 3" xfId="520"/>
    <cellStyle name="Normal 8 3 3 2 2 3 2" xfId="807"/>
    <cellStyle name="Normal 8 3 3 2 3" xfId="521"/>
    <cellStyle name="Normal 8 3 3 2 3 2" xfId="522"/>
    <cellStyle name="Normal 8 3 3 2 3 2 2" xfId="843"/>
    <cellStyle name="Normal 8 3 3 2 4" xfId="523"/>
    <cellStyle name="Normal 8 3 3 2 4 2" xfId="795"/>
    <cellStyle name="Normal 8 3 3 3" xfId="524"/>
    <cellStyle name="Normal 8 3 3 3 2" xfId="525"/>
    <cellStyle name="Normal 8 3 3 3 2 2" xfId="526"/>
    <cellStyle name="Normal 8 3 3 3 2 2 2" xfId="527"/>
    <cellStyle name="Normal 8 3 3 3 2 2 2 2" xfId="846"/>
    <cellStyle name="Normal 8 3 3 3 2 3" xfId="528"/>
    <cellStyle name="Normal 8 3 3 3 2 3 2" xfId="811"/>
    <cellStyle name="Normal 8 3 3 3 3" xfId="529"/>
    <cellStyle name="Normal 8 3 3 3 3 2" xfId="530"/>
    <cellStyle name="Normal 8 3 3 3 3 2 2" xfId="845"/>
    <cellStyle name="Normal 8 3 3 3 4" xfId="531"/>
    <cellStyle name="Normal 8 3 3 3 4 2" xfId="799"/>
    <cellStyle name="Normal 8 3 3 4" xfId="532"/>
    <cellStyle name="Normal 8 3 3 4 2" xfId="533"/>
    <cellStyle name="Normal 8 3 3 4 2 2" xfId="534"/>
    <cellStyle name="Normal 8 3 3 4 2 2 2" xfId="847"/>
    <cellStyle name="Normal 8 3 3 4 3" xfId="535"/>
    <cellStyle name="Normal 8 3 3 4 3 2" xfId="803"/>
    <cellStyle name="Normal 8 3 3 5" xfId="536"/>
    <cellStyle name="Normal 8 3 3 5 2" xfId="537"/>
    <cellStyle name="Normal 8 3 3 5 2 2" xfId="842"/>
    <cellStyle name="Normal 8 3 3 6" xfId="538"/>
    <cellStyle name="Normal 8 3 3 6 2" xfId="791"/>
    <cellStyle name="Normal 8 3 4" xfId="539"/>
    <cellStyle name="Normal 8 3 4 2" xfId="540"/>
    <cellStyle name="Normal 8 3 4 2 2" xfId="541"/>
    <cellStyle name="Normal 8 3 4 2 2 2" xfId="542"/>
    <cellStyle name="Normal 8 3 4 2 2 2 2" xfId="543"/>
    <cellStyle name="Normal 8 3 4 2 2 2 2 2" xfId="850"/>
    <cellStyle name="Normal 8 3 4 2 2 3" xfId="544"/>
    <cellStyle name="Normal 8 3 4 2 2 3 2" xfId="812"/>
    <cellStyle name="Normal 8 3 4 2 3" xfId="545"/>
    <cellStyle name="Normal 8 3 4 2 3 2" xfId="546"/>
    <cellStyle name="Normal 8 3 4 2 3 2 2" xfId="849"/>
    <cellStyle name="Normal 8 3 4 2 4" xfId="547"/>
    <cellStyle name="Normal 8 3 4 2 4 2" xfId="800"/>
    <cellStyle name="Normal 8 3 4 3" xfId="548"/>
    <cellStyle name="Normal 8 3 4 3 2" xfId="549"/>
    <cellStyle name="Normal 8 3 4 3 2 2" xfId="550"/>
    <cellStyle name="Normal 8 3 4 3 2 2 2" xfId="851"/>
    <cellStyle name="Normal 8 3 4 3 3" xfId="551"/>
    <cellStyle name="Normal 8 3 4 3 3 2" xfId="804"/>
    <cellStyle name="Normal 8 3 4 4" xfId="552"/>
    <cellStyle name="Normal 8 3 4 4 2" xfId="553"/>
    <cellStyle name="Normal 8 3 4 4 2 2" xfId="848"/>
    <cellStyle name="Normal 8 3 4 5" xfId="554"/>
    <cellStyle name="Normal 8 3 4 5 2" xfId="792"/>
    <cellStyle name="Normal 8 3 5" xfId="555"/>
    <cellStyle name="Normal 8 3 5 2" xfId="556"/>
    <cellStyle name="Normal 8 3 5 2 2" xfId="557"/>
    <cellStyle name="Normal 8 3 5 2 2 2" xfId="558"/>
    <cellStyle name="Normal 8 3 5 2 2 2 2" xfId="559"/>
    <cellStyle name="Normal 8 3 5 2 2 2 2 2" xfId="854"/>
    <cellStyle name="Normal 8 3 5 2 2 3" xfId="560"/>
    <cellStyle name="Normal 8 3 5 2 2 3 2" xfId="809"/>
    <cellStyle name="Normal 8 3 5 2 3" xfId="561"/>
    <cellStyle name="Normal 8 3 5 2 3 2" xfId="562"/>
    <cellStyle name="Normal 8 3 5 2 3 2 2" xfId="853"/>
    <cellStyle name="Normal 8 3 5 2 4" xfId="563"/>
    <cellStyle name="Normal 8 3 5 2 4 2" xfId="797"/>
    <cellStyle name="Normal 8 3 5 3" xfId="564"/>
    <cellStyle name="Normal 8 3 5 3 2" xfId="565"/>
    <cellStyle name="Normal 8 3 5 3 2 2" xfId="566"/>
    <cellStyle name="Normal 8 3 5 3 2 2 2" xfId="855"/>
    <cellStyle name="Normal 8 3 5 3 3" xfId="567"/>
    <cellStyle name="Normal 8 3 5 3 3 2" xfId="805"/>
    <cellStyle name="Normal 8 3 5 4" xfId="568"/>
    <cellStyle name="Normal 8 3 5 4 2" xfId="569"/>
    <cellStyle name="Normal 8 3 5 4 2 2" xfId="852"/>
    <cellStyle name="Normal 8 3 5 5" xfId="570"/>
    <cellStyle name="Normal 8 3 5 5 2" xfId="793"/>
    <cellStyle name="Normal 8 3 6" xfId="571"/>
    <cellStyle name="Normal 8 3 6 2" xfId="572"/>
    <cellStyle name="Normal 8 3 6 2 2" xfId="573"/>
    <cellStyle name="Normal 8 3 6 2 2 2" xfId="574"/>
    <cellStyle name="Normal 8 3 6 2 2 2 2" xfId="857"/>
    <cellStyle name="Normal 8 3 6 2 3" xfId="575"/>
    <cellStyle name="Normal 8 3 6 2 3 2" xfId="808"/>
    <cellStyle name="Normal 8 3 6 3" xfId="576"/>
    <cellStyle name="Normal 8 3 6 3 2" xfId="577"/>
    <cellStyle name="Normal 8 3 6 3 2 2" xfId="856"/>
    <cellStyle name="Normal 8 3 6 4" xfId="578"/>
    <cellStyle name="Normal 8 3 6 4 2" xfId="796"/>
    <cellStyle name="Normal 8 3 7" xfId="579"/>
    <cellStyle name="Normal 8 3 7 2" xfId="580"/>
    <cellStyle name="Normal 8 3 7 2 2" xfId="581"/>
    <cellStyle name="Normal 8 3 7 2 2 2" xfId="858"/>
    <cellStyle name="Normal 8 3 7 3" xfId="582"/>
    <cellStyle name="Normal 8 3 7 3 2" xfId="801"/>
    <cellStyle name="Normal 8 3 8" xfId="583"/>
    <cellStyle name="Normal 8 3 8 2" xfId="584"/>
    <cellStyle name="Normal 8 3 8 2 2" xfId="835"/>
    <cellStyle name="Normal 8 3 9" xfId="585"/>
    <cellStyle name="Normal 8 4" xfId="586"/>
    <cellStyle name="Normal 8 4 2" xfId="587"/>
    <cellStyle name="Normal 8 4 2 2" xfId="588"/>
    <cellStyle name="Normal 8 4 2 2 2" xfId="859"/>
    <cellStyle name="Normal 8 4 2 3" xfId="589"/>
    <cellStyle name="Normal 8 4 3" xfId="590"/>
    <cellStyle name="Normal 8 4 4" xfId="591"/>
    <cellStyle name="Normal 8 4 4 2" xfId="813"/>
    <cellStyle name="Normal 8 5" xfId="592"/>
    <cellStyle name="Normal 8 5 2" xfId="593"/>
    <cellStyle name="Normal 8 5 2 2" xfId="594"/>
    <cellStyle name="Normal 8 5 2 2 2" xfId="860"/>
    <cellStyle name="Normal 8 5 2 3" xfId="595"/>
    <cellStyle name="Normal 8 5 3" xfId="596"/>
    <cellStyle name="Normal 8 5 4" xfId="597"/>
    <cellStyle name="Normal 8 5 4 2" xfId="816"/>
    <cellStyle name="Normal 8 6" xfId="598"/>
    <cellStyle name="Normal 8 6 2" xfId="599"/>
    <cellStyle name="Normal 8 6 2 2" xfId="600"/>
    <cellStyle name="Normal 8 6 2 2 2" xfId="861"/>
    <cellStyle name="Normal 8 6 2 3" xfId="601"/>
    <cellStyle name="Normal 8 6 3" xfId="602"/>
    <cellStyle name="Normal 8 6 4" xfId="603"/>
    <cellStyle name="Normal 8 6 4 2" xfId="819"/>
    <cellStyle name="Normal 8 7" xfId="604"/>
    <cellStyle name="Normal 8 7 2" xfId="605"/>
    <cellStyle name="Normal 8 7 2 2" xfId="606"/>
    <cellStyle name="Normal 8 7 3" xfId="607"/>
    <cellStyle name="Normal 8 7 4" xfId="1079"/>
    <cellStyle name="Normal 8 8" xfId="608"/>
    <cellStyle name="Normal 8 8 2" xfId="609"/>
    <cellStyle name="Normal 8 8 3" xfId="1113"/>
    <cellStyle name="Normal 8 9" xfId="610"/>
    <cellStyle name="Normal 9" xfId="611"/>
    <cellStyle name="Normal 9 2" xfId="612"/>
    <cellStyle name="Normal 9 2 2" xfId="613"/>
    <cellStyle name="Normal 9 2 2 2" xfId="614"/>
    <cellStyle name="Normal 9 2 2 2 2" xfId="825"/>
    <cellStyle name="Normal 9 2 3" xfId="615"/>
    <cellStyle name="Normal 9 2 3 2" xfId="814"/>
    <cellStyle name="Normal 9 3" xfId="616"/>
    <cellStyle name="Normal 9 3 2" xfId="617"/>
    <cellStyle name="Normal 9 3 2 2" xfId="618"/>
    <cellStyle name="Normal 9 3 2 2 2" xfId="862"/>
    <cellStyle name="Normal 9 3 3" xfId="619"/>
    <cellStyle name="Normal 9 3 3 2" xfId="817"/>
    <cellStyle name="Normal 9 4" xfId="620"/>
    <cellStyle name="Normal 9 4 2" xfId="621"/>
    <cellStyle name="Normal 9 4 2 2" xfId="622"/>
    <cellStyle name="Normal 9 4 2 2 2" xfId="863"/>
    <cellStyle name="Normal 9 4 3" xfId="623"/>
    <cellStyle name="Normal 9 4 3 2" xfId="820"/>
    <cellStyle name="Normal 9 5" xfId="624"/>
    <cellStyle name="Normal 9 5 2" xfId="625"/>
    <cellStyle name="Normal 9 5 3" xfId="1078"/>
    <cellStyle name="Normal 9 6" xfId="626"/>
    <cellStyle name="Normal_Plan1" xfId="1271"/>
    <cellStyle name="Normal_Sheet1" xfId="627"/>
    <cellStyle name="Normal_SMAF2005 Interpretation-My copy" xfId="628"/>
    <cellStyle name="Normal_top 12 indicator factors corrected MWD,MBC" xfId="629"/>
    <cellStyle name="Note 2" xfId="630"/>
    <cellStyle name="Note 2 10" xfId="1173"/>
    <cellStyle name="Note 2 2" xfId="631"/>
    <cellStyle name="Note 2 2 2" xfId="632"/>
    <cellStyle name="Note 2 2 2 2" xfId="1031"/>
    <cellStyle name="Note 2 2 2 2 2" xfId="1659"/>
    <cellStyle name="Note 2 2 2 2 2 2" xfId="2114"/>
    <cellStyle name="Note 2 2 2 2 2 3" xfId="2567"/>
    <cellStyle name="Note 2 2 2 2 2 4" xfId="3020"/>
    <cellStyle name="Note 2 2 2 2 3" xfId="1887"/>
    <cellStyle name="Note 2 2 2 2 4" xfId="2341"/>
    <cellStyle name="Note 2 2 2 2 5" xfId="2794"/>
    <cellStyle name="Note 2 2 2 2 6" xfId="1424"/>
    <cellStyle name="Note 2 2 2 3" xfId="864"/>
    <cellStyle name="Note 2 2 2 3 2" xfId="2001"/>
    <cellStyle name="Note 2 2 2 3 3" xfId="2454"/>
    <cellStyle name="Note 2 2 2 3 4" xfId="2907"/>
    <cellStyle name="Note 2 2 2 3 5" xfId="1546"/>
    <cellStyle name="Note 2 2 2 4" xfId="1774"/>
    <cellStyle name="Note 2 2 2 5" xfId="2228"/>
    <cellStyle name="Note 2 2 2 6" xfId="2681"/>
    <cellStyle name="Note 2 2 2 7" xfId="1266"/>
    <cellStyle name="Note 2 2 3" xfId="1030"/>
    <cellStyle name="Note 2 2 3 2" xfId="1595"/>
    <cellStyle name="Note 2 2 3 2 2" xfId="2050"/>
    <cellStyle name="Note 2 2 3 2 3" xfId="2503"/>
    <cellStyle name="Note 2 2 3 2 4" xfId="2956"/>
    <cellStyle name="Note 2 2 3 3" xfId="1823"/>
    <cellStyle name="Note 2 2 3 4" xfId="2277"/>
    <cellStyle name="Note 2 2 3 5" xfId="2730"/>
    <cellStyle name="Note 2 2 3 6" xfId="1360"/>
    <cellStyle name="Note 2 2 4" xfId="1101"/>
    <cellStyle name="Note 2 2 4 2" xfId="1937"/>
    <cellStyle name="Note 2 2 4 3" xfId="2390"/>
    <cellStyle name="Note 2 2 4 4" xfId="2843"/>
    <cellStyle name="Note 2 2 4 5" xfId="1482"/>
    <cellStyle name="Note 2 2 5" xfId="740"/>
    <cellStyle name="Note 2 2 5 2" xfId="1710"/>
    <cellStyle name="Note 2 2 6" xfId="2164"/>
    <cellStyle name="Note 2 2 7" xfId="2617"/>
    <cellStyle name="Note 2 2 8" xfId="1202"/>
    <cellStyle name="Note 2 3" xfId="633"/>
    <cellStyle name="Note 2 3 2" xfId="772"/>
    <cellStyle name="Note 2 4" xfId="634"/>
    <cellStyle name="Note 2 4 2" xfId="1032"/>
    <cellStyle name="Note 2 4 2 2" xfId="1625"/>
    <cellStyle name="Note 2 4 2 2 2" xfId="2080"/>
    <cellStyle name="Note 2 4 2 2 3" xfId="2533"/>
    <cellStyle name="Note 2 4 2 2 4" xfId="2986"/>
    <cellStyle name="Note 2 4 2 3" xfId="1853"/>
    <cellStyle name="Note 2 4 2 4" xfId="2307"/>
    <cellStyle name="Note 2 4 2 5" xfId="2760"/>
    <cellStyle name="Note 2 4 2 6" xfId="1390"/>
    <cellStyle name="Note 2 4 3" xfId="778"/>
    <cellStyle name="Note 2 4 3 2" xfId="1967"/>
    <cellStyle name="Note 2 4 3 3" xfId="2420"/>
    <cellStyle name="Note 2 4 3 4" xfId="2873"/>
    <cellStyle name="Note 2 4 3 5" xfId="1512"/>
    <cellStyle name="Note 2 4 4" xfId="1740"/>
    <cellStyle name="Note 2 4 5" xfId="2194"/>
    <cellStyle name="Note 2 4 6" xfId="2647"/>
    <cellStyle name="Note 2 4 7" xfId="1232"/>
    <cellStyle name="Note 2 5" xfId="1029"/>
    <cellStyle name="Note 2 5 2" xfId="1566"/>
    <cellStyle name="Note 2 5 2 2" xfId="2021"/>
    <cellStyle name="Note 2 5 2 3" xfId="2474"/>
    <cellStyle name="Note 2 5 2 4" xfId="2927"/>
    <cellStyle name="Note 2 5 3" xfId="1794"/>
    <cellStyle name="Note 2 5 4" xfId="2248"/>
    <cellStyle name="Note 2 5 5" xfId="2701"/>
    <cellStyle name="Note 2 5 6" xfId="1331"/>
    <cellStyle name="Note 2 6" xfId="1064"/>
    <cellStyle name="Note 2 6 2" xfId="1908"/>
    <cellStyle name="Note 2 6 3" xfId="2361"/>
    <cellStyle name="Note 2 6 4" xfId="2814"/>
    <cellStyle name="Note 2 6 5" xfId="1453"/>
    <cellStyle name="Note 2 7" xfId="706"/>
    <cellStyle name="Note 2 7 2" xfId="1681"/>
    <cellStyle name="Note 2 8" xfId="2135"/>
    <cellStyle name="Note 2 9" xfId="2588"/>
    <cellStyle name="Note 3" xfId="635"/>
    <cellStyle name="Note 3 2" xfId="636"/>
    <cellStyle name="Note 3 2 2" xfId="637"/>
    <cellStyle name="Note 3 2 2 2" xfId="1035"/>
    <cellStyle name="Note 3 2 2 2 2" xfId="1660"/>
    <cellStyle name="Note 3 2 2 2 2 2" xfId="2115"/>
    <cellStyle name="Note 3 2 2 2 2 3" xfId="2568"/>
    <cellStyle name="Note 3 2 2 2 2 4" xfId="3021"/>
    <cellStyle name="Note 3 2 2 2 3" xfId="1888"/>
    <cellStyle name="Note 3 2 2 2 4" xfId="2342"/>
    <cellStyle name="Note 3 2 2 2 5" xfId="2795"/>
    <cellStyle name="Note 3 2 2 2 6" xfId="1425"/>
    <cellStyle name="Note 3 2 2 3" xfId="865"/>
    <cellStyle name="Note 3 2 2 3 2" xfId="2002"/>
    <cellStyle name="Note 3 2 2 3 3" xfId="2455"/>
    <cellStyle name="Note 3 2 2 3 4" xfId="2908"/>
    <cellStyle name="Note 3 2 2 3 5" xfId="1547"/>
    <cellStyle name="Note 3 2 2 4" xfId="1775"/>
    <cellStyle name="Note 3 2 2 5" xfId="2229"/>
    <cellStyle name="Note 3 2 2 6" xfId="2682"/>
    <cellStyle name="Note 3 2 2 7" xfId="1267"/>
    <cellStyle name="Note 3 2 3" xfId="1034"/>
    <cellStyle name="Note 3 2 3 2" xfId="1599"/>
    <cellStyle name="Note 3 2 3 2 2" xfId="2054"/>
    <cellStyle name="Note 3 2 3 2 3" xfId="2507"/>
    <cellStyle name="Note 3 2 3 2 4" xfId="2960"/>
    <cellStyle name="Note 3 2 3 3" xfId="1827"/>
    <cellStyle name="Note 3 2 3 4" xfId="2281"/>
    <cellStyle name="Note 3 2 3 5" xfId="2734"/>
    <cellStyle name="Note 3 2 3 6" xfId="1364"/>
    <cellStyle name="Note 3 2 4" xfId="1107"/>
    <cellStyle name="Note 3 2 4 2" xfId="1941"/>
    <cellStyle name="Note 3 2 4 3" xfId="2394"/>
    <cellStyle name="Note 3 2 4 4" xfId="2847"/>
    <cellStyle name="Note 3 2 4 5" xfId="1486"/>
    <cellStyle name="Note 3 2 5" xfId="742"/>
    <cellStyle name="Note 3 2 5 2" xfId="1714"/>
    <cellStyle name="Note 3 2 6" xfId="2168"/>
    <cellStyle name="Note 3 2 7" xfId="2621"/>
    <cellStyle name="Note 3 2 8" xfId="1206"/>
    <cellStyle name="Note 3 3" xfId="638"/>
    <cellStyle name="Note 3 3 2" xfId="1036"/>
    <cellStyle name="Note 3 3 2 2" xfId="1629"/>
    <cellStyle name="Note 3 3 2 2 2" xfId="2084"/>
    <cellStyle name="Note 3 3 2 2 3" xfId="2537"/>
    <cellStyle name="Note 3 3 2 2 4" xfId="2990"/>
    <cellStyle name="Note 3 3 2 3" xfId="1857"/>
    <cellStyle name="Note 3 3 2 4" xfId="2311"/>
    <cellStyle name="Note 3 3 2 5" xfId="2764"/>
    <cellStyle name="Note 3 3 2 6" xfId="1394"/>
    <cellStyle name="Note 3 3 3" xfId="780"/>
    <cellStyle name="Note 3 3 3 2" xfId="1971"/>
    <cellStyle name="Note 3 3 3 3" xfId="2424"/>
    <cellStyle name="Note 3 3 3 4" xfId="2877"/>
    <cellStyle name="Note 3 3 3 5" xfId="1516"/>
    <cellStyle name="Note 3 3 4" xfId="1744"/>
    <cellStyle name="Note 3 3 5" xfId="2198"/>
    <cellStyle name="Note 3 3 6" xfId="2651"/>
    <cellStyle name="Note 3 3 7" xfId="1236"/>
    <cellStyle name="Note 3 4" xfId="1033"/>
    <cellStyle name="Note 3 4 2" xfId="1570"/>
    <cellStyle name="Note 3 4 2 2" xfId="2025"/>
    <cellStyle name="Note 3 4 2 3" xfId="2478"/>
    <cellStyle name="Note 3 4 2 4" xfId="2931"/>
    <cellStyle name="Note 3 4 3" xfId="1798"/>
    <cellStyle name="Note 3 4 4" xfId="2252"/>
    <cellStyle name="Note 3 4 5" xfId="2705"/>
    <cellStyle name="Note 3 4 6" xfId="1335"/>
    <cellStyle name="Note 3 5" xfId="1066"/>
    <cellStyle name="Note 3 5 2" xfId="1912"/>
    <cellStyle name="Note 3 5 3" xfId="2365"/>
    <cellStyle name="Note 3 5 4" xfId="2818"/>
    <cellStyle name="Note 3 5 5" xfId="1457"/>
    <cellStyle name="Note 3 6" xfId="711"/>
    <cellStyle name="Note 3 6 2" xfId="1685"/>
    <cellStyle name="Note 3 7" xfId="2139"/>
    <cellStyle name="Note 3 8" xfId="2592"/>
    <cellStyle name="Note 3 9" xfId="1177"/>
    <cellStyle name="Note 4" xfId="639"/>
    <cellStyle name="Note 4 2" xfId="640"/>
    <cellStyle name="Note 4 2 2" xfId="1311"/>
    <cellStyle name="Note 4 3" xfId="1307"/>
    <cellStyle name="Note 5" xfId="641"/>
    <cellStyle name="Note 5 2" xfId="642"/>
    <cellStyle name="Note 5 2 2" xfId="643"/>
    <cellStyle name="Note 5 2 2 2" xfId="1039"/>
    <cellStyle name="Note 5 2 2 2 2" xfId="1661"/>
    <cellStyle name="Note 5 2 2 2 2 2" xfId="2116"/>
    <cellStyle name="Note 5 2 2 2 2 3" xfId="2569"/>
    <cellStyle name="Note 5 2 2 2 2 4" xfId="3022"/>
    <cellStyle name="Note 5 2 2 2 3" xfId="1889"/>
    <cellStyle name="Note 5 2 2 2 4" xfId="2343"/>
    <cellStyle name="Note 5 2 2 2 5" xfId="2796"/>
    <cellStyle name="Note 5 2 2 2 6" xfId="1426"/>
    <cellStyle name="Note 5 2 2 3" xfId="866"/>
    <cellStyle name="Note 5 2 2 3 2" xfId="2003"/>
    <cellStyle name="Note 5 2 2 3 3" xfId="2456"/>
    <cellStyle name="Note 5 2 2 3 4" xfId="2909"/>
    <cellStyle name="Note 5 2 2 3 5" xfId="1548"/>
    <cellStyle name="Note 5 2 2 4" xfId="1776"/>
    <cellStyle name="Note 5 2 2 5" xfId="2230"/>
    <cellStyle name="Note 5 2 2 6" xfId="2683"/>
    <cellStyle name="Note 5 2 2 7" xfId="1268"/>
    <cellStyle name="Note 5 2 3" xfId="1038"/>
    <cellStyle name="Note 5 2 3 2" xfId="1596"/>
    <cellStyle name="Note 5 2 3 2 2" xfId="2051"/>
    <cellStyle name="Note 5 2 3 2 3" xfId="2504"/>
    <cellStyle name="Note 5 2 3 2 4" xfId="2957"/>
    <cellStyle name="Note 5 2 3 3" xfId="1824"/>
    <cellStyle name="Note 5 2 3 4" xfId="2278"/>
    <cellStyle name="Note 5 2 3 5" xfId="2731"/>
    <cellStyle name="Note 5 2 3 6" xfId="1361"/>
    <cellStyle name="Note 5 2 4" xfId="1102"/>
    <cellStyle name="Note 5 2 4 2" xfId="1938"/>
    <cellStyle name="Note 5 2 4 3" xfId="2391"/>
    <cellStyle name="Note 5 2 4 4" xfId="2844"/>
    <cellStyle name="Note 5 2 4 5" xfId="1483"/>
    <cellStyle name="Note 5 2 5" xfId="741"/>
    <cellStyle name="Note 5 2 5 2" xfId="1711"/>
    <cellStyle name="Note 5 2 6" xfId="2165"/>
    <cellStyle name="Note 5 2 7" xfId="2618"/>
    <cellStyle name="Note 5 2 8" xfId="1203"/>
    <cellStyle name="Note 5 3" xfId="644"/>
    <cellStyle name="Note 5 3 2" xfId="1040"/>
    <cellStyle name="Note 5 3 2 2" xfId="1626"/>
    <cellStyle name="Note 5 3 2 2 2" xfId="2081"/>
    <cellStyle name="Note 5 3 2 2 3" xfId="2534"/>
    <cellStyle name="Note 5 3 2 2 4" xfId="2987"/>
    <cellStyle name="Note 5 3 2 3" xfId="1854"/>
    <cellStyle name="Note 5 3 2 4" xfId="2308"/>
    <cellStyle name="Note 5 3 2 5" xfId="2761"/>
    <cellStyle name="Note 5 3 2 6" xfId="1391"/>
    <cellStyle name="Note 5 3 3" xfId="779"/>
    <cellStyle name="Note 5 3 3 2" xfId="1968"/>
    <cellStyle name="Note 5 3 3 3" xfId="2421"/>
    <cellStyle name="Note 5 3 3 4" xfId="2874"/>
    <cellStyle name="Note 5 3 3 5" xfId="1513"/>
    <cellStyle name="Note 5 3 4" xfId="1741"/>
    <cellStyle name="Note 5 3 5" xfId="2195"/>
    <cellStyle name="Note 5 3 6" xfId="2648"/>
    <cellStyle name="Note 5 3 7" xfId="1233"/>
    <cellStyle name="Note 5 4" xfId="1037"/>
    <cellStyle name="Note 5 4 2" xfId="1567"/>
    <cellStyle name="Note 5 4 2 2" xfId="2022"/>
    <cellStyle name="Note 5 4 2 3" xfId="2475"/>
    <cellStyle name="Note 5 4 2 4" xfId="2928"/>
    <cellStyle name="Note 5 4 3" xfId="1795"/>
    <cellStyle name="Note 5 4 4" xfId="2249"/>
    <cellStyle name="Note 5 4 5" xfId="2702"/>
    <cellStyle name="Note 5 4 6" xfId="1332"/>
    <cellStyle name="Note 5 5" xfId="1065"/>
    <cellStyle name="Note 5 5 2" xfId="1909"/>
    <cellStyle name="Note 5 5 3" xfId="2362"/>
    <cellStyle name="Note 5 5 4" xfId="2815"/>
    <cellStyle name="Note 5 5 5" xfId="1454"/>
    <cellStyle name="Note 5 6" xfId="707"/>
    <cellStyle name="Note 5 6 2" xfId="1682"/>
    <cellStyle name="Note 5 7" xfId="2136"/>
    <cellStyle name="Note 5 8" xfId="2589"/>
    <cellStyle name="Note 5 9" xfId="1174"/>
    <cellStyle name="Note 6" xfId="1303"/>
    <cellStyle name="Output 2" xfId="645"/>
    <cellStyle name="Output 2 2" xfId="646"/>
    <cellStyle name="Output 2 3" xfId="647"/>
    <cellStyle name="Output 2 3 2" xfId="1315"/>
    <cellStyle name="Output 3" xfId="648"/>
    <cellStyle name="Output 3 2" xfId="649"/>
    <cellStyle name="Output 3 2 2" xfId="1312"/>
    <cellStyle name="Output 3 3" xfId="1308"/>
    <cellStyle name="Output 4" xfId="1296"/>
    <cellStyle name="Output 4 2" xfId="1430"/>
    <cellStyle name="Output 5" xfId="1304"/>
    <cellStyle name="Percent 2" xfId="650"/>
    <cellStyle name="Percent 2 2" xfId="651"/>
    <cellStyle name="Percent 2 2 2" xfId="965"/>
    <cellStyle name="Percent 2 2 3" xfId="911"/>
    <cellStyle name="Percent 3" xfId="652"/>
    <cellStyle name="Percent 3 2" xfId="653"/>
    <cellStyle name="Percent 3 2 2" xfId="654"/>
    <cellStyle name="Percent 3 2 2 2" xfId="655"/>
    <cellStyle name="Percent 3 2 2 2 2" xfId="868"/>
    <cellStyle name="Percent 3 2 2 3" xfId="782"/>
    <cellStyle name="Percent 3 2 3" xfId="656"/>
    <cellStyle name="Percent 3 2 3 2" xfId="818"/>
    <cellStyle name="Percent 3 2 4" xfId="728"/>
    <cellStyle name="Percent 3 3" xfId="657"/>
    <cellStyle name="Percent 3 3 2" xfId="658"/>
    <cellStyle name="Percent 3 3 2 2" xfId="659"/>
    <cellStyle name="Percent 3 3 2 2 2" xfId="869"/>
    <cellStyle name="Percent 3 3 2 3" xfId="783"/>
    <cellStyle name="Percent 3 3 3" xfId="660"/>
    <cellStyle name="Percent 3 3 3 2" xfId="821"/>
    <cellStyle name="Percent 3 3 4" xfId="729"/>
    <cellStyle name="Percent 3 4" xfId="661"/>
    <cellStyle name="Percent 3 4 2" xfId="662"/>
    <cellStyle name="Percent 3 4 2 2" xfId="867"/>
    <cellStyle name="Percent 3 4 3" xfId="781"/>
    <cellStyle name="Percent 3 5" xfId="663"/>
    <cellStyle name="Percent 3 5 2" xfId="815"/>
    <cellStyle name="Percent 3 6" xfId="727"/>
    <cellStyle name="Percent 4" xfId="664"/>
    <cellStyle name="Percent 4 2" xfId="1041"/>
    <cellStyle name="Percent 4 3" xfId="907"/>
    <cellStyle name="Resultado da tabela dinâmica" xfId="1297"/>
    <cellStyle name="Title" xfId="665" builtinId="15" customBuiltin="1"/>
    <cellStyle name="Title 2" xfId="666"/>
    <cellStyle name="Title 2 2" xfId="667"/>
    <cellStyle name="Title 3" xfId="668"/>
    <cellStyle name="Title 4" xfId="1298"/>
    <cellStyle name="Title 5" xfId="1439"/>
    <cellStyle name="Título da tabela dinâmica" xfId="1299"/>
    <cellStyle name="Total 2" xfId="669"/>
    <cellStyle name="Total 2 2" xfId="670"/>
    <cellStyle name="Total 2 3" xfId="671"/>
    <cellStyle name="Total 3" xfId="672"/>
    <cellStyle name="Total 3 2" xfId="673"/>
    <cellStyle name="Valor da tabela dinâmica" xfId="1300"/>
    <cellStyle name="Warning Text 2" xfId="674"/>
    <cellStyle name="Warning Text 2 2" xfId="675"/>
    <cellStyle name="Warning Text 2 3" xfId="676"/>
    <cellStyle name="Warning Text 3" xfId="677"/>
    <cellStyle name="Warning Text 3 2" xfId="67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xVal>
            <c:numRef>
              <c:f>(SQIndex!$CN$20:$CN$28,SQIndex!$CN$47:$CN$55,SQIndex!$CN$74:$CN$82)</c:f>
              <c:numCache>
                <c:formatCode>0.0</c:formatCode>
                <c:ptCount val="27"/>
                <c:pt idx="0">
                  <c:v>3</c:v>
                </c:pt>
                <c:pt idx="1">
                  <c:v>3</c:v>
                </c:pt>
                <c:pt idx="2">
                  <c:v>2.8</c:v>
                </c:pt>
                <c:pt idx="3">
                  <c:v>2.8</c:v>
                </c:pt>
                <c:pt idx="4">
                  <c:v>3.4</c:v>
                </c:pt>
                <c:pt idx="5">
                  <c:v>3</c:v>
                </c:pt>
                <c:pt idx="6">
                  <c:v>3.8</c:v>
                </c:pt>
                <c:pt idx="7">
                  <c:v>2.6</c:v>
                </c:pt>
                <c:pt idx="8">
                  <c:v>2.8</c:v>
                </c:pt>
                <c:pt idx="9">
                  <c:v>7</c:v>
                </c:pt>
                <c:pt idx="10">
                  <c:v>10.4</c:v>
                </c:pt>
                <c:pt idx="11">
                  <c:v>5.8</c:v>
                </c:pt>
                <c:pt idx="12">
                  <c:v>7.4</c:v>
                </c:pt>
                <c:pt idx="13">
                  <c:v>5.6</c:v>
                </c:pt>
                <c:pt idx="14">
                  <c:v>7.0750000000000002</c:v>
                </c:pt>
                <c:pt idx="15">
                  <c:v>7.6</c:v>
                </c:pt>
                <c:pt idx="16">
                  <c:v>7.8</c:v>
                </c:pt>
                <c:pt idx="17">
                  <c:v>5</c:v>
                </c:pt>
                <c:pt idx="18">
                  <c:v>17</c:v>
                </c:pt>
                <c:pt idx="19">
                  <c:v>9.33</c:v>
                </c:pt>
                <c:pt idx="20">
                  <c:v>12.6</c:v>
                </c:pt>
                <c:pt idx="21">
                  <c:v>12.17</c:v>
                </c:pt>
                <c:pt idx="22">
                  <c:v>5.6</c:v>
                </c:pt>
                <c:pt idx="23">
                  <c:v>15.4</c:v>
                </c:pt>
                <c:pt idx="24">
                  <c:v>13.8</c:v>
                </c:pt>
                <c:pt idx="25">
                  <c:v>9.83</c:v>
                </c:pt>
                <c:pt idx="26">
                  <c:v>7.5</c:v>
                </c:pt>
              </c:numCache>
            </c:numRef>
          </c:xVal>
          <c:yVal>
            <c:numRef>
              <c:f>(SQIndex!$CQ$20:$CQ$28,SQIndex!$CQ$47:$CQ$55,SQIndex!$CQ$74:$CQ$82)</c:f>
              <c:numCache>
                <c:formatCode>0.00</c:formatCode>
                <c:ptCount val="27"/>
                <c:pt idx="0">
                  <c:v>0.38968815210231561</c:v>
                </c:pt>
                <c:pt idx="1">
                  <c:v>0.38974641477170718</c:v>
                </c:pt>
                <c:pt idx="2">
                  <c:v>0.34099667322559135</c:v>
                </c:pt>
                <c:pt idx="3">
                  <c:v>0.34093057757135414</c:v>
                </c:pt>
                <c:pt idx="4">
                  <c:v>0.48421609755252626</c:v>
                </c:pt>
                <c:pt idx="5">
                  <c:v>0.39016058123312436</c:v>
                </c:pt>
                <c:pt idx="6">
                  <c:v>0.56848068548788822</c:v>
                </c:pt>
                <c:pt idx="7">
                  <c:v>0.29210543769977776</c:v>
                </c:pt>
                <c:pt idx="8">
                  <c:v>0.34089753935209471</c:v>
                </c:pt>
                <c:pt idx="9">
                  <c:v>0.89491794631410193</c:v>
                </c:pt>
                <c:pt idx="10">
                  <c:v>0.96616433635786714</c:v>
                </c:pt>
                <c:pt idx="11">
                  <c:v>0.82719367263189592</c:v>
                </c:pt>
                <c:pt idx="12">
                  <c:v>0.90971649081140238</c:v>
                </c:pt>
                <c:pt idx="13">
                  <c:v>0.81145093782949385</c:v>
                </c:pt>
                <c:pt idx="14">
                  <c:v>0.89816052978738625</c:v>
                </c:pt>
                <c:pt idx="15">
                  <c:v>0.91630722038329615</c:v>
                </c:pt>
                <c:pt idx="16">
                  <c:v>0.92203629565746748</c:v>
                </c:pt>
                <c:pt idx="17">
                  <c:v>0.75241012173311472</c:v>
                </c:pt>
                <c:pt idx="18">
                  <c:v>1</c:v>
                </c:pt>
                <c:pt idx="19">
                  <c:v>0.95225366278493995</c:v>
                </c:pt>
                <c:pt idx="20">
                  <c:v>0.98045326068905914</c:v>
                </c:pt>
                <c:pt idx="21">
                  <c:v>0.97824971972422659</c:v>
                </c:pt>
                <c:pt idx="22">
                  <c:v>0.80861457037443452</c:v>
                </c:pt>
                <c:pt idx="23">
                  <c:v>1</c:v>
                </c:pt>
                <c:pt idx="24">
                  <c:v>0.98523692667439466</c:v>
                </c:pt>
                <c:pt idx="25">
                  <c:v>0.95908252597456156</c:v>
                </c:pt>
                <c:pt idx="26">
                  <c:v>0.91161777149417045</c:v>
                </c:pt>
              </c:numCache>
            </c:numRef>
          </c:yVal>
          <c:smooth val="0"/>
        </c:ser>
        <c:dLbls>
          <c:showLegendKey val="0"/>
          <c:showVal val="0"/>
          <c:showCatName val="0"/>
          <c:showSerName val="0"/>
          <c:showPercent val="0"/>
          <c:showBubbleSize val="0"/>
        </c:dLbls>
        <c:axId val="401493376"/>
        <c:axId val="401493768"/>
      </c:scatterChart>
      <c:valAx>
        <c:axId val="401493376"/>
        <c:scaling>
          <c:orientation val="minMax"/>
        </c:scaling>
        <c:delete val="0"/>
        <c:axPos val="b"/>
        <c:numFmt formatCode="0.0" sourceLinked="1"/>
        <c:majorTickMark val="out"/>
        <c:minorTickMark val="none"/>
        <c:tickLblPos val="nextTo"/>
        <c:crossAx val="401493768"/>
        <c:crosses val="autoZero"/>
        <c:crossBetween val="midCat"/>
        <c:majorUnit val="2"/>
      </c:valAx>
      <c:valAx>
        <c:axId val="401493768"/>
        <c:scaling>
          <c:orientation val="minMax"/>
        </c:scaling>
        <c:delete val="0"/>
        <c:axPos val="l"/>
        <c:majorGridlines/>
        <c:numFmt formatCode="0.00" sourceLinked="1"/>
        <c:majorTickMark val="out"/>
        <c:minorTickMark val="none"/>
        <c:tickLblPos val="nextTo"/>
        <c:crossAx val="401493376"/>
        <c:crosses val="autoZero"/>
        <c:crossBetween val="midCat"/>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yVal>
            <c:numLit>
              <c:formatCode>General</c:formatCode>
              <c:ptCount val="1"/>
              <c:pt idx="0">
                <c:v>0</c:v>
              </c:pt>
            </c:numLit>
          </c:yVal>
          <c:smooth val="1"/>
        </c:ser>
        <c:dLbls>
          <c:showLegendKey val="0"/>
          <c:showVal val="0"/>
          <c:showCatName val="0"/>
          <c:showSerName val="0"/>
          <c:showPercent val="0"/>
          <c:showBubbleSize val="0"/>
        </c:dLbls>
        <c:axId val="400826856"/>
        <c:axId val="400827248"/>
      </c:scatterChart>
      <c:valAx>
        <c:axId val="400826856"/>
        <c:scaling>
          <c:orientation val="minMax"/>
        </c:scaling>
        <c:delete val="0"/>
        <c:axPos val="b"/>
        <c:title>
          <c:tx>
            <c:rich>
              <a:bodyPr/>
              <a:lstStyle/>
              <a:p>
                <a:pPr>
                  <a:defRPr sz="250" b="1" i="0" u="none" strike="noStrike" baseline="0">
                    <a:solidFill>
                      <a:srgbClr val="000000"/>
                    </a:solidFill>
                    <a:latin typeface="Arial"/>
                    <a:ea typeface="Arial"/>
                    <a:cs typeface="Arial"/>
                  </a:defRPr>
                </a:pPr>
                <a:r>
                  <a:rPr lang="en-US"/>
                  <a:t>Water-Filled Pore Space</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en-US"/>
          </a:p>
        </c:txPr>
        <c:crossAx val="400827248"/>
        <c:crosses val="autoZero"/>
        <c:crossBetween val="midCat"/>
      </c:valAx>
      <c:valAx>
        <c:axId val="400827248"/>
        <c:scaling>
          <c:orientation val="minMax"/>
          <c:max val="1"/>
        </c:scaling>
        <c:delete val="0"/>
        <c:axPos val="l"/>
        <c:title>
          <c:tx>
            <c:rich>
              <a:bodyPr/>
              <a:lstStyle/>
              <a:p>
                <a:pPr>
                  <a:defRPr sz="250" b="1" i="0" u="none" strike="noStrike" baseline="0">
                    <a:solidFill>
                      <a:srgbClr val="000000"/>
                    </a:solidFill>
                    <a:latin typeface="Arial"/>
                    <a:ea typeface="Arial"/>
                    <a:cs typeface="Arial"/>
                  </a:defRPr>
                </a:pPr>
                <a:r>
                  <a:rPr lang="en-US"/>
                  <a:t>WFPS score</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en-US"/>
          </a:p>
        </c:txPr>
        <c:crossAx val="400826856"/>
        <c:crosses val="autoZero"/>
        <c:crossBetween val="midCat"/>
        <c:majorUnit val="0.2"/>
      </c:valAx>
      <c:spPr>
        <a:solidFill>
          <a:srgbClr val="FFFFFF"/>
        </a:solidFill>
        <a:ln w="12700">
          <a:solidFill>
            <a:srgbClr val="FFFFFF"/>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n-US"/>
    </a:p>
  </c:txPr>
  <c:printSettings>
    <c:headerFooter alignWithMargins="0"/>
    <c:pageMargins b="1" l="0.75000000000000155" r="0.7500000000000015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659142003402445"/>
          <c:y val="8.1633030742287047E-2"/>
          <c:w val="0.7002055143209569"/>
          <c:h val="0.6822188997748273"/>
        </c:manualLayout>
      </c:layout>
      <c:scatterChart>
        <c:scatterStyle val="smoothMarker"/>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xVal>
            <c:numLit>
              <c:formatCode>General</c:formatCode>
              <c:ptCount val="8"/>
              <c:pt idx="0">
                <c:v>0</c:v>
              </c:pt>
              <c:pt idx="1">
                <c:v>70</c:v>
              </c:pt>
              <c:pt idx="2">
                <c:v>110</c:v>
              </c:pt>
              <c:pt idx="3">
                <c:v>150</c:v>
              </c:pt>
              <c:pt idx="4">
                <c:v>180</c:v>
              </c:pt>
              <c:pt idx="5">
                <c:v>200</c:v>
              </c:pt>
              <c:pt idx="6">
                <c:v>300</c:v>
              </c:pt>
              <c:pt idx="7">
                <c:v>400</c:v>
              </c:pt>
            </c:numLit>
          </c:xVal>
          <c:yVal>
            <c:numLit>
              <c:formatCode>General</c:formatCode>
              <c:ptCount val="8"/>
              <c:pt idx="0">
                <c:v>0</c:v>
              </c:pt>
              <c:pt idx="1">
                <c:v>0.52375740688116501</c:v>
              </c:pt>
              <c:pt idx="2">
                <c:v>0.69593788054069805</c:v>
              </c:pt>
              <c:pt idx="3">
                <c:v>0.8122218569766545</c:v>
              </c:pt>
              <c:pt idx="4">
                <c:v>0.87391087693842873</c:v>
              </c:pt>
              <c:pt idx="5">
                <c:v>0.90602575667906471</c:v>
              </c:pt>
              <c:pt idx="6">
                <c:v>0.99861699637469903</c:v>
              </c:pt>
              <c:pt idx="7">
                <c:v>1.033323418082569</c:v>
              </c:pt>
            </c:numLit>
          </c:yVal>
          <c:smooth val="1"/>
        </c:ser>
        <c:dLbls>
          <c:showLegendKey val="0"/>
          <c:showVal val="0"/>
          <c:showCatName val="0"/>
          <c:showSerName val="0"/>
          <c:showPercent val="0"/>
          <c:showBubbleSize val="0"/>
        </c:dLbls>
        <c:axId val="400820192"/>
        <c:axId val="400820584"/>
      </c:scatterChart>
      <c:valAx>
        <c:axId val="400820192"/>
        <c:scaling>
          <c:orientation val="minMax"/>
          <c:max val="400"/>
        </c:scaling>
        <c:delete val="0"/>
        <c:axPos val="b"/>
        <c:title>
          <c:tx>
            <c:rich>
              <a:bodyPr/>
              <a:lstStyle/>
              <a:p>
                <a:pPr>
                  <a:defRPr sz="875" b="1" i="0" u="none" strike="noStrike" baseline="0">
                    <a:solidFill>
                      <a:srgbClr val="000000"/>
                    </a:solidFill>
                    <a:latin typeface="Arial"/>
                    <a:ea typeface="Arial"/>
                    <a:cs typeface="Arial"/>
                  </a:defRPr>
                </a:pPr>
                <a:r>
                  <a:rPr lang="en-US"/>
                  <a:t>Mehlich Extractable K (mg/kg)</a:t>
                </a:r>
              </a:p>
            </c:rich>
          </c:tx>
          <c:layout>
            <c:manualLayout>
              <c:xMode val="edge"/>
              <c:yMode val="edge"/>
              <c:x val="0.31829024452025634"/>
              <c:y val="0.867926203102163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400820584"/>
        <c:crosses val="autoZero"/>
        <c:crossBetween val="midCat"/>
        <c:majorUnit val="50"/>
        <c:minorUnit val="50"/>
      </c:valAx>
      <c:valAx>
        <c:axId val="400820584"/>
        <c:scaling>
          <c:orientation val="minMax"/>
          <c:max val="1.1000000000000001"/>
          <c:min val="0"/>
        </c:scaling>
        <c:delete val="0"/>
        <c:axPos val="l"/>
        <c:majorGridlines>
          <c:spPr>
            <a:ln w="3175">
              <a:solidFill>
                <a:srgbClr val="FFFFFF"/>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Ex K score</a:t>
                </a:r>
              </a:p>
            </c:rich>
          </c:tx>
          <c:layout>
            <c:manualLayout>
              <c:xMode val="edge"/>
              <c:yMode val="edge"/>
              <c:x val="3.3254108123548211E-2"/>
              <c:y val="0.2981137561886396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400820192"/>
        <c:crosses val="autoZero"/>
        <c:crossBetween val="midCat"/>
      </c:valAx>
      <c:spPr>
        <a:solidFill>
          <a:srgbClr val="FFFFFF"/>
        </a:solidFill>
        <a:ln w="25400">
          <a:noFill/>
        </a:ln>
      </c:spPr>
    </c:plotArea>
    <c:plotVisOnly val="1"/>
    <c:dispBlanksAs val="gap"/>
    <c:showDLblsOverMax val="0"/>
  </c:chart>
  <c:spPr>
    <a:solidFill>
      <a:srgbClr val="FFFFFF"/>
    </a:solidFill>
    <a:ln w="9525">
      <a:solidFill>
        <a:srgbClr val="4F81BD"/>
      </a:solidFill>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000000000000155" r="0.75000000000000155"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06981972441179"/>
          <c:y val="9.7179055256352467E-2"/>
          <c:w val="0.71252584595123758"/>
          <c:h val="0.63009645504925305"/>
        </c:manualLayout>
      </c:layout>
      <c:scatterChart>
        <c:scatterStyle val="smoothMarker"/>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xVal>
            <c:numLit>
              <c:formatCode>General</c:formatCode>
              <c:ptCount val="8"/>
              <c:pt idx="0">
                <c:v>0</c:v>
              </c:pt>
              <c:pt idx="1">
                <c:v>40</c:v>
              </c:pt>
              <c:pt idx="2">
                <c:v>75</c:v>
              </c:pt>
              <c:pt idx="3">
                <c:v>125</c:v>
              </c:pt>
              <c:pt idx="4">
                <c:v>150</c:v>
              </c:pt>
              <c:pt idx="5">
                <c:v>200</c:v>
              </c:pt>
              <c:pt idx="6">
                <c:v>300</c:v>
              </c:pt>
              <c:pt idx="7">
                <c:v>400</c:v>
              </c:pt>
            </c:numLit>
          </c:xVal>
          <c:yVal>
            <c:numLit>
              <c:formatCode>General</c:formatCode>
              <c:ptCount val="8"/>
              <c:pt idx="0">
                <c:v>0</c:v>
              </c:pt>
              <c:pt idx="1">
                <c:v>0.44662357212120801</c:v>
              </c:pt>
              <c:pt idx="2">
                <c:v>0.68211707203945005</c:v>
              </c:pt>
              <c:pt idx="3">
                <c:v>0.87402888568220405</c:v>
              </c:pt>
              <c:pt idx="4">
                <c:v>0.93120666130319041</c:v>
              </c:pt>
              <c:pt idx="5">
                <c:v>1.0012873509598799</c:v>
              </c:pt>
              <c:pt idx="6">
                <c:v>1.0553831538235701</c:v>
              </c:pt>
              <c:pt idx="7">
                <c:v>1.069502863938711</c:v>
              </c:pt>
            </c:numLit>
          </c:yVal>
          <c:smooth val="1"/>
        </c:ser>
        <c:dLbls>
          <c:showLegendKey val="0"/>
          <c:showVal val="0"/>
          <c:showCatName val="0"/>
          <c:showSerName val="0"/>
          <c:showPercent val="0"/>
          <c:showBubbleSize val="0"/>
        </c:dLbls>
        <c:axId val="406000736"/>
        <c:axId val="406000344"/>
      </c:scatterChart>
      <c:valAx>
        <c:axId val="406000736"/>
        <c:scaling>
          <c:orientation val="minMax"/>
          <c:max val="400"/>
        </c:scaling>
        <c:delete val="0"/>
        <c:axPos val="b"/>
        <c:title>
          <c:tx>
            <c:rich>
              <a:bodyPr/>
              <a:lstStyle/>
              <a:p>
                <a:pPr>
                  <a:defRPr sz="1000" b="1" i="0" u="none" strike="noStrike" baseline="0">
                    <a:solidFill>
                      <a:srgbClr val="000000"/>
                    </a:solidFill>
                    <a:latin typeface="Arial"/>
                    <a:ea typeface="Arial"/>
                    <a:cs typeface="Arial"/>
                  </a:defRPr>
                </a:pPr>
                <a:r>
                  <a:rPr lang="en-US"/>
                  <a:t>Mehlich Extractable K (mg/kg)</a:t>
                </a:r>
              </a:p>
            </c:rich>
          </c:tx>
          <c:layout>
            <c:manualLayout>
              <c:xMode val="edge"/>
              <c:yMode val="edge"/>
              <c:x val="0.30403832991101987"/>
              <c:y val="0.8598515702778536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06000344"/>
        <c:crosses val="autoZero"/>
        <c:crossBetween val="midCat"/>
        <c:majorUnit val="50"/>
        <c:minorUnit val="50"/>
      </c:valAx>
      <c:valAx>
        <c:axId val="406000344"/>
        <c:scaling>
          <c:orientation val="minMax"/>
          <c:max val="1.1000000000000001"/>
          <c:min val="0"/>
        </c:scaling>
        <c:delete val="0"/>
        <c:axPos val="l"/>
        <c:majorGridlines>
          <c:spPr>
            <a:ln w="3175">
              <a:solidFill>
                <a:srgbClr val="FFFFFF"/>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Ex K score</a:t>
                </a:r>
              </a:p>
            </c:rich>
          </c:tx>
          <c:layout>
            <c:manualLayout>
              <c:xMode val="edge"/>
              <c:yMode val="edge"/>
              <c:x val="3.5629517049588513E-2"/>
              <c:y val="0.28030426447477796"/>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06000736"/>
        <c:crosses val="autoZero"/>
        <c:crossBetween val="midCat"/>
      </c:valAx>
      <c:spPr>
        <a:solidFill>
          <a:srgbClr val="FFFFFF"/>
        </a:solidFill>
        <a:ln w="25400">
          <a:noFill/>
        </a:ln>
      </c:spPr>
    </c:plotArea>
    <c:plotVisOnly val="1"/>
    <c:dispBlanksAs val="gap"/>
    <c:showDLblsOverMax val="0"/>
  </c:chart>
  <c:spPr>
    <a:solidFill>
      <a:srgbClr val="FFFFFF"/>
    </a:solidFill>
    <a:ln w="9525">
      <a:solidFill>
        <a:schemeClr val="accent1"/>
      </a:solidFill>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000000000000155" r="0.75000000000000155"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398400657234919"/>
          <c:y val="4.6846846846846889E-2"/>
          <c:w val="0.64024564980660992"/>
          <c:h val="0.78919101177717332"/>
        </c:manualLayout>
      </c:layout>
      <c:scatterChart>
        <c:scatterStyle val="smoothMarker"/>
        <c:varyColors val="0"/>
        <c:ser>
          <c:idx val="0"/>
          <c:order val="0"/>
          <c:tx>
            <c:strRef>
              <c:f>MBC!$B$38</c:f>
              <c:strCache>
                <c:ptCount val="1"/>
                <c:pt idx="0">
                  <c:v>clayey Hemist-Spr</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xVal>
            <c:numRef>
              <c:f>MBC!$A$39:$A$48</c:f>
              <c:numCache>
                <c:formatCode>General</c:formatCode>
                <c:ptCount val="10"/>
                <c:pt idx="0">
                  <c:v>100</c:v>
                </c:pt>
                <c:pt idx="1">
                  <c:v>200</c:v>
                </c:pt>
                <c:pt idx="2">
                  <c:v>300</c:v>
                </c:pt>
                <c:pt idx="3">
                  <c:v>400</c:v>
                </c:pt>
                <c:pt idx="4">
                  <c:v>500</c:v>
                </c:pt>
                <c:pt idx="5">
                  <c:v>600</c:v>
                </c:pt>
                <c:pt idx="6">
                  <c:v>700</c:v>
                </c:pt>
                <c:pt idx="7">
                  <c:v>800</c:v>
                </c:pt>
                <c:pt idx="8">
                  <c:v>900</c:v>
                </c:pt>
                <c:pt idx="9">
                  <c:v>1000</c:v>
                </c:pt>
              </c:numCache>
            </c:numRef>
          </c:xVal>
          <c:yVal>
            <c:numRef>
              <c:f>MBC!$B$39:$B$48</c:f>
              <c:numCache>
                <c:formatCode>General</c:formatCode>
                <c:ptCount val="10"/>
                <c:pt idx="0">
                  <c:v>0.13651916094554534</c:v>
                </c:pt>
                <c:pt idx="1">
                  <c:v>0.50459819530782291</c:v>
                </c:pt>
                <c:pt idx="2">
                  <c:v>0.86775961027713566</c:v>
                </c:pt>
                <c:pt idx="3">
                  <c:v>0.97689191270013509</c:v>
                </c:pt>
                <c:pt idx="4">
                  <c:v>0.99634170610566286</c:v>
                </c:pt>
                <c:pt idx="5">
                  <c:v>0.99943039258866107</c:v>
                </c:pt>
                <c:pt idx="6">
                  <c:v>0.99991154193039555</c:v>
                </c:pt>
                <c:pt idx="7">
                  <c:v>0.99998626835049997</c:v>
                </c:pt>
                <c:pt idx="8">
                  <c:v>0.99999786852352157</c:v>
                </c:pt>
                <c:pt idx="9">
                  <c:v>0.99999966914772642</c:v>
                </c:pt>
              </c:numCache>
            </c:numRef>
          </c:yVal>
          <c:smooth val="1"/>
        </c:ser>
        <c:ser>
          <c:idx val="1"/>
          <c:order val="1"/>
          <c:tx>
            <c:strRef>
              <c:f>MBC!$C$38</c:f>
              <c:strCache>
                <c:ptCount val="1"/>
                <c:pt idx="0">
                  <c:v>clayey Udoll-Spr</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xVal>
            <c:numRef>
              <c:f>MBC!$A$39:$A$48</c:f>
              <c:numCache>
                <c:formatCode>General</c:formatCode>
                <c:ptCount val="10"/>
                <c:pt idx="0">
                  <c:v>100</c:v>
                </c:pt>
                <c:pt idx="1">
                  <c:v>200</c:v>
                </c:pt>
                <c:pt idx="2">
                  <c:v>300</c:v>
                </c:pt>
                <c:pt idx="3">
                  <c:v>400</c:v>
                </c:pt>
                <c:pt idx="4">
                  <c:v>500</c:v>
                </c:pt>
                <c:pt idx="5">
                  <c:v>600</c:v>
                </c:pt>
                <c:pt idx="6">
                  <c:v>700</c:v>
                </c:pt>
                <c:pt idx="7">
                  <c:v>800</c:v>
                </c:pt>
                <c:pt idx="8">
                  <c:v>900</c:v>
                </c:pt>
                <c:pt idx="9">
                  <c:v>1000</c:v>
                </c:pt>
              </c:numCache>
            </c:numRef>
          </c:xVal>
          <c:yVal>
            <c:numRef>
              <c:f>MBC!$C$39:$C$48</c:f>
              <c:numCache>
                <c:formatCode>General</c:formatCode>
                <c:ptCount val="10"/>
                <c:pt idx="0">
                  <c:v>7.653921338747878E-2</c:v>
                </c:pt>
                <c:pt idx="1">
                  <c:v>0.21870252232830159</c:v>
                </c:pt>
                <c:pt idx="2">
                  <c:v>0.48596321801736192</c:v>
                </c:pt>
                <c:pt idx="3">
                  <c:v>0.76149979609140073</c:v>
                </c:pt>
                <c:pt idx="4">
                  <c:v>0.91513434196041377</c:v>
                </c:pt>
                <c:pt idx="5">
                  <c:v>0.97327541023605912</c:v>
                </c:pt>
                <c:pt idx="6">
                  <c:v>0.99193532593890388</c:v>
                </c:pt>
                <c:pt idx="7">
                  <c:v>0.99759847338000063</c:v>
                </c:pt>
                <c:pt idx="8">
                  <c:v>0.99928772066204286</c:v>
                </c:pt>
                <c:pt idx="9">
                  <c:v>0.99978899326704762</c:v>
                </c:pt>
              </c:numCache>
            </c:numRef>
          </c:yVal>
          <c:smooth val="1"/>
        </c:ser>
        <c:ser>
          <c:idx val="2"/>
          <c:order val="2"/>
          <c:tx>
            <c:strRef>
              <c:f>MBC!$D$38</c:f>
              <c:strCache>
                <c:ptCount val="1"/>
                <c:pt idx="0">
                  <c:v>clayey Udoll-Wtr</c:v>
                </c:pt>
              </c:strCache>
            </c:strRef>
          </c:tx>
          <c:spPr>
            <a:ln w="12700">
              <a:solidFill>
                <a:srgbClr val="FFFF00"/>
              </a:solidFill>
              <a:prstDash val="solid"/>
            </a:ln>
          </c:spPr>
          <c:marker>
            <c:symbol val="triangle"/>
            <c:size val="5"/>
            <c:spPr>
              <a:solidFill>
                <a:srgbClr val="FFFF00"/>
              </a:solidFill>
              <a:ln>
                <a:solidFill>
                  <a:srgbClr val="FFFF00"/>
                </a:solidFill>
                <a:prstDash val="solid"/>
              </a:ln>
            </c:spPr>
          </c:marker>
          <c:xVal>
            <c:numRef>
              <c:f>MBC!$A$39:$A$48</c:f>
              <c:numCache>
                <c:formatCode>General</c:formatCode>
                <c:ptCount val="10"/>
                <c:pt idx="0">
                  <c:v>100</c:v>
                </c:pt>
                <c:pt idx="1">
                  <c:v>200</c:v>
                </c:pt>
                <c:pt idx="2">
                  <c:v>300</c:v>
                </c:pt>
                <c:pt idx="3">
                  <c:v>400</c:v>
                </c:pt>
                <c:pt idx="4">
                  <c:v>500</c:v>
                </c:pt>
                <c:pt idx="5">
                  <c:v>600</c:v>
                </c:pt>
                <c:pt idx="6">
                  <c:v>700</c:v>
                </c:pt>
                <c:pt idx="7">
                  <c:v>800</c:v>
                </c:pt>
                <c:pt idx="8">
                  <c:v>900</c:v>
                </c:pt>
                <c:pt idx="9">
                  <c:v>1000</c:v>
                </c:pt>
              </c:numCache>
            </c:numRef>
          </c:xVal>
          <c:yVal>
            <c:numRef>
              <c:f>MBC!$D$39:$D$48</c:f>
              <c:numCache>
                <c:formatCode>General</c:formatCode>
                <c:ptCount val="10"/>
                <c:pt idx="0">
                  <c:v>6.6833765714712473E-2</c:v>
                </c:pt>
                <c:pt idx="1">
                  <c:v>0.17288128342899656</c:v>
                </c:pt>
                <c:pt idx="2">
                  <c:v>0.3788784698099435</c:v>
                </c:pt>
                <c:pt idx="3">
                  <c:v>0.6403124585426524</c:v>
                </c:pt>
                <c:pt idx="4">
                  <c:v>0.83858704795822303</c:v>
                </c:pt>
                <c:pt idx="5">
                  <c:v>0.938126000547433</c:v>
                </c:pt>
                <c:pt idx="6">
                  <c:v>0.97789970265277204</c:v>
                </c:pt>
                <c:pt idx="7">
                  <c:v>0.99231559218916399</c:v>
                </c:pt>
                <c:pt idx="8">
                  <c:v>0.99735353285840234</c:v>
                </c:pt>
                <c:pt idx="9">
                  <c:v>0.99909159510088397</c:v>
                </c:pt>
              </c:numCache>
            </c:numRef>
          </c:yVal>
          <c:smooth val="1"/>
        </c:ser>
        <c:ser>
          <c:idx val="3"/>
          <c:order val="3"/>
          <c:tx>
            <c:strRef>
              <c:f>MBC!$E$38</c:f>
              <c:strCache>
                <c:ptCount val="1"/>
                <c:pt idx="0">
                  <c:v>clayey Fluvent-Wtr</c:v>
                </c:pt>
              </c:strCache>
            </c:strRef>
          </c:tx>
          <c:spPr>
            <a:ln w="12700">
              <a:solidFill>
                <a:srgbClr val="00FFFF"/>
              </a:solidFill>
              <a:prstDash val="solid"/>
            </a:ln>
          </c:spPr>
          <c:marker>
            <c:symbol val="x"/>
            <c:size val="5"/>
            <c:spPr>
              <a:noFill/>
              <a:ln>
                <a:solidFill>
                  <a:srgbClr val="00FFFF"/>
                </a:solidFill>
                <a:prstDash val="solid"/>
              </a:ln>
            </c:spPr>
          </c:marker>
          <c:xVal>
            <c:numRef>
              <c:f>MBC!$A$39:$A$48</c:f>
              <c:numCache>
                <c:formatCode>General</c:formatCode>
                <c:ptCount val="10"/>
                <c:pt idx="0">
                  <c:v>100</c:v>
                </c:pt>
                <c:pt idx="1">
                  <c:v>200</c:v>
                </c:pt>
                <c:pt idx="2">
                  <c:v>300</c:v>
                </c:pt>
                <c:pt idx="3">
                  <c:v>400</c:v>
                </c:pt>
                <c:pt idx="4">
                  <c:v>500</c:v>
                </c:pt>
                <c:pt idx="5">
                  <c:v>600</c:v>
                </c:pt>
                <c:pt idx="6">
                  <c:v>700</c:v>
                </c:pt>
                <c:pt idx="7">
                  <c:v>800</c:v>
                </c:pt>
                <c:pt idx="8">
                  <c:v>900</c:v>
                </c:pt>
                <c:pt idx="9">
                  <c:v>1000</c:v>
                </c:pt>
              </c:numCache>
            </c:numRef>
          </c:xVal>
          <c:yVal>
            <c:numRef>
              <c:f>MBC!$E$39:$E$48</c:f>
              <c:numCache>
                <c:formatCode>General</c:formatCode>
                <c:ptCount val="10"/>
                <c:pt idx="0">
                  <c:v>6.6833765714712473E-2</c:v>
                </c:pt>
                <c:pt idx="1">
                  <c:v>0.17288128342899656</c:v>
                </c:pt>
                <c:pt idx="2">
                  <c:v>0.3788784698099435</c:v>
                </c:pt>
                <c:pt idx="3">
                  <c:v>0.6403124585426524</c:v>
                </c:pt>
                <c:pt idx="4">
                  <c:v>0.83858704795822303</c:v>
                </c:pt>
                <c:pt idx="5">
                  <c:v>0.938126000547433</c:v>
                </c:pt>
                <c:pt idx="6">
                  <c:v>0.97789970265277204</c:v>
                </c:pt>
                <c:pt idx="7">
                  <c:v>0.99231559218916399</c:v>
                </c:pt>
                <c:pt idx="8">
                  <c:v>0.99735353285840234</c:v>
                </c:pt>
                <c:pt idx="9">
                  <c:v>0.99909159510088397</c:v>
                </c:pt>
              </c:numCache>
            </c:numRef>
          </c:yVal>
          <c:smooth val="1"/>
        </c:ser>
        <c:ser>
          <c:idx val="4"/>
          <c:order val="4"/>
          <c:tx>
            <c:strRef>
              <c:f>MBC!$F$38</c:f>
              <c:strCache>
                <c:ptCount val="1"/>
                <c:pt idx="0">
                  <c:v>sandy Fluvent-Spr</c:v>
                </c:pt>
              </c:strCache>
            </c:strRef>
          </c:tx>
          <c:spPr>
            <a:ln w="12700">
              <a:solidFill>
                <a:srgbClr val="800080"/>
              </a:solidFill>
              <a:prstDash val="solid"/>
            </a:ln>
          </c:spPr>
          <c:marker>
            <c:symbol val="star"/>
            <c:size val="5"/>
            <c:spPr>
              <a:noFill/>
              <a:ln>
                <a:solidFill>
                  <a:srgbClr val="800080"/>
                </a:solidFill>
                <a:prstDash val="solid"/>
              </a:ln>
            </c:spPr>
          </c:marker>
          <c:xVal>
            <c:numRef>
              <c:f>MBC!$A$39:$A$48</c:f>
              <c:numCache>
                <c:formatCode>General</c:formatCode>
                <c:ptCount val="10"/>
                <c:pt idx="0">
                  <c:v>100</c:v>
                </c:pt>
                <c:pt idx="1">
                  <c:v>200</c:v>
                </c:pt>
                <c:pt idx="2">
                  <c:v>300</c:v>
                </c:pt>
                <c:pt idx="3">
                  <c:v>400</c:v>
                </c:pt>
                <c:pt idx="4">
                  <c:v>500</c:v>
                </c:pt>
                <c:pt idx="5">
                  <c:v>600</c:v>
                </c:pt>
                <c:pt idx="6">
                  <c:v>700</c:v>
                </c:pt>
                <c:pt idx="7">
                  <c:v>800</c:v>
                </c:pt>
                <c:pt idx="8">
                  <c:v>900</c:v>
                </c:pt>
                <c:pt idx="9">
                  <c:v>1000</c:v>
                </c:pt>
              </c:numCache>
            </c:numRef>
          </c:xVal>
          <c:yVal>
            <c:numRef>
              <c:f>MBC!$F$39:$F$48</c:f>
              <c:numCache>
                <c:formatCode>General</c:formatCode>
                <c:ptCount val="10"/>
                <c:pt idx="0">
                  <c:v>0.20334320903988401</c:v>
                </c:pt>
                <c:pt idx="1">
                  <c:v>0.72638323970598517</c:v>
                </c:pt>
                <c:pt idx="2">
                  <c:v>0.96504884991028095</c:v>
                </c:pt>
                <c:pt idx="3">
                  <c:v>0.99652993336954787</c:v>
                </c:pt>
                <c:pt idx="4">
                  <c:v>0.99966531412719395</c:v>
                </c:pt>
                <c:pt idx="5">
                  <c:v>0.99996781125310286</c:v>
                </c:pt>
                <c:pt idx="6">
                  <c:v>0.99999690506168515</c:v>
                </c:pt>
                <c:pt idx="7">
                  <c:v>0.99999970243043901</c:v>
                </c:pt>
                <c:pt idx="8">
                  <c:v>0.99999997138960095</c:v>
                </c:pt>
                <c:pt idx="9">
                  <c:v>0.99999999724919864</c:v>
                </c:pt>
              </c:numCache>
            </c:numRef>
          </c:yVal>
          <c:smooth val="1"/>
        </c:ser>
        <c:dLbls>
          <c:showLegendKey val="0"/>
          <c:showVal val="0"/>
          <c:showCatName val="0"/>
          <c:showSerName val="0"/>
          <c:showPercent val="0"/>
          <c:showBubbleSize val="0"/>
        </c:dLbls>
        <c:axId val="406001520"/>
        <c:axId val="406003088"/>
      </c:scatterChart>
      <c:valAx>
        <c:axId val="406001520"/>
        <c:scaling>
          <c:orientation val="minMax"/>
          <c:max val="1050"/>
          <c:min val="0"/>
        </c:scaling>
        <c:delete val="0"/>
        <c:axPos val="b"/>
        <c:title>
          <c:tx>
            <c:rich>
              <a:bodyPr/>
              <a:lstStyle/>
              <a:p>
                <a:pPr>
                  <a:defRPr sz="975" b="1" i="0" u="none" strike="noStrike" baseline="0">
                    <a:solidFill>
                      <a:srgbClr val="000000"/>
                    </a:solidFill>
                    <a:latin typeface="Arial"/>
                    <a:ea typeface="Arial"/>
                    <a:cs typeface="Arial"/>
                  </a:defRPr>
                </a:pPr>
                <a:r>
                  <a:rPr lang="en-US"/>
                  <a:t>MBC (mg/kg)</a:t>
                </a:r>
              </a:p>
            </c:rich>
          </c:tx>
          <c:layout>
            <c:manualLayout>
              <c:xMode val="edge"/>
              <c:yMode val="edge"/>
              <c:x val="0.36744233190363423"/>
              <c:y val="0.9253245371355608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406003088"/>
        <c:crosses val="autoZero"/>
        <c:crossBetween val="midCat"/>
      </c:valAx>
      <c:valAx>
        <c:axId val="406003088"/>
        <c:scaling>
          <c:orientation val="minMax"/>
          <c:max val="1.1000000000000001"/>
          <c:min val="0"/>
        </c:scaling>
        <c:delete val="0"/>
        <c:axPos val="l"/>
        <c:majorGridlines>
          <c:spPr>
            <a:ln w="3175">
              <a:solidFill>
                <a:srgbClr val="FFFFFF"/>
              </a:solidFill>
              <a:prstDash val="solid"/>
            </a:ln>
          </c:spPr>
        </c:majorGridlines>
        <c:title>
          <c:tx>
            <c:rich>
              <a:bodyPr/>
              <a:lstStyle/>
              <a:p>
                <a:pPr>
                  <a:defRPr sz="975" b="1" i="0" u="none" strike="noStrike" baseline="0">
                    <a:solidFill>
                      <a:srgbClr val="000000"/>
                    </a:solidFill>
                    <a:latin typeface="Arial"/>
                    <a:ea typeface="Arial"/>
                    <a:cs typeface="Arial"/>
                  </a:defRPr>
                </a:pPr>
                <a:r>
                  <a:rPr lang="en-US"/>
                  <a:t>Score</a:t>
                </a:r>
              </a:p>
            </c:rich>
          </c:tx>
          <c:layout>
            <c:manualLayout>
              <c:xMode val="edge"/>
              <c:yMode val="edge"/>
              <c:x val="1.162777671083799E-2"/>
              <c:y val="0.3831169752429601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406001520"/>
        <c:crosses val="autoZero"/>
        <c:crossBetween val="midCat"/>
      </c:valAx>
      <c:spPr>
        <a:solidFill>
          <a:srgbClr val="FFFFFF"/>
        </a:solidFill>
        <a:ln w="25400">
          <a:noFill/>
        </a:ln>
      </c:spPr>
    </c:plotArea>
    <c:legend>
      <c:legendPos val="r"/>
      <c:layout>
        <c:manualLayout>
          <c:xMode val="edge"/>
          <c:yMode val="edge"/>
          <c:x val="0.63211542154791633"/>
          <c:y val="0.44054160459672248"/>
          <c:w val="0.35162708319996627"/>
          <c:h val="0.34054124991132845"/>
        </c:manualLayout>
      </c:layout>
      <c:overlay val="0"/>
      <c:spPr>
        <a:solidFill>
          <a:srgbClr val="FFFFFF"/>
        </a:solidFill>
        <a:ln w="3175">
          <a:solidFill>
            <a:srgbClr val="000000"/>
          </a:solidFill>
          <a:prstDash val="solid"/>
        </a:ln>
      </c:spPr>
      <c:txPr>
        <a:bodyPr/>
        <a:lstStyle/>
        <a:p>
          <a:pPr>
            <a:defRPr sz="7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75"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388476129897266"/>
          <c:y val="0.1206229118554836"/>
          <c:w val="0.44628211730986667"/>
          <c:h val="0.70428216276911348"/>
        </c:manualLayout>
      </c:layout>
      <c:scatterChart>
        <c:scatterStyle val="smoothMarker"/>
        <c:varyColors val="0"/>
        <c:ser>
          <c:idx val="0"/>
          <c:order val="0"/>
          <c:tx>
            <c:strRef>
              <c:f>pH!$B$42</c:f>
              <c:strCache>
                <c:ptCount val="1"/>
                <c:pt idx="0">
                  <c:v>soybean</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xVal>
            <c:numRef>
              <c:f>pH!$A$43:$A$53</c:f>
              <c:numCache>
                <c:formatCode>0.0</c:formatCode>
                <c:ptCount val="11"/>
                <c:pt idx="0">
                  <c:v>4</c:v>
                </c:pt>
                <c:pt idx="1">
                  <c:v>4.5</c:v>
                </c:pt>
                <c:pt idx="2">
                  <c:v>5</c:v>
                </c:pt>
                <c:pt idx="3">
                  <c:v>5.5</c:v>
                </c:pt>
                <c:pt idx="4">
                  <c:v>6</c:v>
                </c:pt>
                <c:pt idx="5">
                  <c:v>6.5</c:v>
                </c:pt>
                <c:pt idx="6">
                  <c:v>7</c:v>
                </c:pt>
                <c:pt idx="7">
                  <c:v>7.5</c:v>
                </c:pt>
                <c:pt idx="8">
                  <c:v>8</c:v>
                </c:pt>
                <c:pt idx="9">
                  <c:v>8.5</c:v>
                </c:pt>
                <c:pt idx="10">
                  <c:v>9</c:v>
                </c:pt>
              </c:numCache>
            </c:numRef>
          </c:xVal>
          <c:yVal>
            <c:numRef>
              <c:f>pH!$B$43:$B$53</c:f>
              <c:numCache>
                <c:formatCode>0.00</c:formatCode>
                <c:ptCount val="11"/>
                <c:pt idx="0">
                  <c:v>0.17242162389375282</c:v>
                </c:pt>
                <c:pt idx="1">
                  <c:v>0.34529089077143388</c:v>
                </c:pt>
                <c:pt idx="2">
                  <c:v>0.58127301787341445</c:v>
                </c:pt>
                <c:pt idx="3">
                  <c:v>0.82257756239866464</c:v>
                </c:pt>
                <c:pt idx="4">
                  <c:v>0.97853239207322784</c:v>
                </c:pt>
                <c:pt idx="5">
                  <c:v>0.97853239207322784</c:v>
                </c:pt>
                <c:pt idx="6">
                  <c:v>0.82257756239866464</c:v>
                </c:pt>
                <c:pt idx="7">
                  <c:v>0.58127301787341445</c:v>
                </c:pt>
                <c:pt idx="8">
                  <c:v>0.34529089077143388</c:v>
                </c:pt>
                <c:pt idx="9">
                  <c:v>0.17242162389375282</c:v>
                </c:pt>
                <c:pt idx="10">
                  <c:v>7.2376902585238434E-2</c:v>
                </c:pt>
              </c:numCache>
            </c:numRef>
          </c:yVal>
          <c:smooth val="1"/>
        </c:ser>
        <c:ser>
          <c:idx val="1"/>
          <c:order val="1"/>
          <c:tx>
            <c:strRef>
              <c:f>pH!$C$42</c:f>
              <c:strCache>
                <c:ptCount val="1"/>
                <c:pt idx="0">
                  <c:v>dry beans</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xVal>
            <c:numRef>
              <c:f>pH!$A$43:$A$53</c:f>
              <c:numCache>
                <c:formatCode>0.0</c:formatCode>
                <c:ptCount val="11"/>
                <c:pt idx="0">
                  <c:v>4</c:v>
                </c:pt>
                <c:pt idx="1">
                  <c:v>4.5</c:v>
                </c:pt>
                <c:pt idx="2">
                  <c:v>5</c:v>
                </c:pt>
                <c:pt idx="3">
                  <c:v>5.5</c:v>
                </c:pt>
                <c:pt idx="4">
                  <c:v>6</c:v>
                </c:pt>
                <c:pt idx="5">
                  <c:v>6.5</c:v>
                </c:pt>
                <c:pt idx="6">
                  <c:v>7</c:v>
                </c:pt>
                <c:pt idx="7">
                  <c:v>7.5</c:v>
                </c:pt>
                <c:pt idx="8">
                  <c:v>8</c:v>
                </c:pt>
                <c:pt idx="9">
                  <c:v>8.5</c:v>
                </c:pt>
                <c:pt idx="10">
                  <c:v>9</c:v>
                </c:pt>
              </c:numCache>
            </c:numRef>
          </c:xVal>
          <c:yVal>
            <c:numRef>
              <c:f>pH!$C$43:$C$53</c:f>
              <c:numCache>
                <c:formatCode>0.00</c:formatCode>
                <c:ptCount val="11"/>
                <c:pt idx="0">
                  <c:v>0.51837862088472031</c:v>
                </c:pt>
                <c:pt idx="1">
                  <c:v>0.66551234166270679</c:v>
                </c:pt>
                <c:pt idx="2">
                  <c:v>0.80506261890224251</c:v>
                </c:pt>
                <c:pt idx="3">
                  <c:v>0.91763025882762506</c:v>
                </c:pt>
                <c:pt idx="4">
                  <c:v>0.98553103826693367</c:v>
                </c:pt>
                <c:pt idx="5">
                  <c:v>0.99732660192112588</c:v>
                </c:pt>
                <c:pt idx="6">
                  <c:v>0.95097481655801186</c:v>
                </c:pt>
                <c:pt idx="7">
                  <c:v>0.85440768400029199</c:v>
                </c:pt>
                <c:pt idx="8">
                  <c:v>0.72331220103294291</c:v>
                </c:pt>
                <c:pt idx="9">
                  <c:v>0.57696697154618914</c:v>
                </c:pt>
                <c:pt idx="10">
                  <c:v>0.43365127805244447</c:v>
                </c:pt>
              </c:numCache>
            </c:numRef>
          </c:yVal>
          <c:smooth val="1"/>
        </c:ser>
        <c:ser>
          <c:idx val="2"/>
          <c:order val="2"/>
          <c:tx>
            <c:strRef>
              <c:f>pH!$D$42</c:f>
              <c:strCache>
                <c:ptCount val="1"/>
                <c:pt idx="0">
                  <c:v>wheat</c:v>
                </c:pt>
              </c:strCache>
            </c:strRef>
          </c:tx>
          <c:spPr>
            <a:ln w="12700">
              <a:solidFill>
                <a:srgbClr val="FFFF00"/>
              </a:solidFill>
              <a:prstDash val="solid"/>
            </a:ln>
          </c:spPr>
          <c:marker>
            <c:symbol val="triangle"/>
            <c:size val="5"/>
            <c:spPr>
              <a:solidFill>
                <a:srgbClr val="FFFF00"/>
              </a:solidFill>
              <a:ln>
                <a:solidFill>
                  <a:srgbClr val="FFFF00"/>
                </a:solidFill>
                <a:prstDash val="solid"/>
              </a:ln>
            </c:spPr>
          </c:marker>
          <c:xVal>
            <c:numRef>
              <c:f>pH!$A$43:$A$53</c:f>
              <c:numCache>
                <c:formatCode>0.0</c:formatCode>
                <c:ptCount val="11"/>
                <c:pt idx="0">
                  <c:v>4</c:v>
                </c:pt>
                <c:pt idx="1">
                  <c:v>4.5</c:v>
                </c:pt>
                <c:pt idx="2">
                  <c:v>5</c:v>
                </c:pt>
                <c:pt idx="3">
                  <c:v>5.5</c:v>
                </c:pt>
                <c:pt idx="4">
                  <c:v>6</c:v>
                </c:pt>
                <c:pt idx="5">
                  <c:v>6.5</c:v>
                </c:pt>
                <c:pt idx="6">
                  <c:v>7</c:v>
                </c:pt>
                <c:pt idx="7">
                  <c:v>7.5</c:v>
                </c:pt>
                <c:pt idx="8">
                  <c:v>8</c:v>
                </c:pt>
                <c:pt idx="9">
                  <c:v>8.5</c:v>
                </c:pt>
                <c:pt idx="10">
                  <c:v>9</c:v>
                </c:pt>
              </c:numCache>
            </c:numRef>
          </c:xVal>
          <c:yVal>
            <c:numRef>
              <c:f>pH!$D$43:$D$53</c:f>
              <c:numCache>
                <c:formatCode>0.00</c:formatCode>
                <c:ptCount val="11"/>
                <c:pt idx="0">
                  <c:v>0.51620567394549643</c:v>
                </c:pt>
                <c:pt idx="1">
                  <c:v>0.66697681085847449</c:v>
                </c:pt>
                <c:pt idx="2">
                  <c:v>0.809571648667887</c:v>
                </c:pt>
                <c:pt idx="3">
                  <c:v>0.92311634638663587</c:v>
                </c:pt>
                <c:pt idx="4">
                  <c:v>0.98881304461123309</c:v>
                </c:pt>
                <c:pt idx="5">
                  <c:v>0.99501247919268232</c:v>
                </c:pt>
                <c:pt idx="6">
                  <c:v>0.94058806336434209</c:v>
                </c:pt>
                <c:pt idx="7">
                  <c:v>0.835270211411272</c:v>
                </c:pt>
                <c:pt idx="8">
                  <c:v>0.6968047754960347</c:v>
                </c:pt>
                <c:pt idx="9">
                  <c:v>0.5460744266397094</c:v>
                </c:pt>
                <c:pt idx="10">
                  <c:v>0.40202138309465485</c:v>
                </c:pt>
              </c:numCache>
            </c:numRef>
          </c:yVal>
          <c:smooth val="1"/>
        </c:ser>
        <c:ser>
          <c:idx val="3"/>
          <c:order val="3"/>
          <c:tx>
            <c:strRef>
              <c:f>pH!$E$42</c:f>
              <c:strCache>
                <c:ptCount val="1"/>
                <c:pt idx="0">
                  <c:v>corn</c:v>
                </c:pt>
              </c:strCache>
            </c:strRef>
          </c:tx>
          <c:spPr>
            <a:ln w="12700">
              <a:solidFill>
                <a:srgbClr val="00FFFF"/>
              </a:solidFill>
              <a:prstDash val="solid"/>
            </a:ln>
          </c:spPr>
          <c:marker>
            <c:symbol val="x"/>
            <c:size val="5"/>
            <c:spPr>
              <a:noFill/>
              <a:ln>
                <a:solidFill>
                  <a:srgbClr val="00FFFF"/>
                </a:solidFill>
                <a:prstDash val="solid"/>
              </a:ln>
            </c:spPr>
          </c:marker>
          <c:xVal>
            <c:numRef>
              <c:f>pH!$A$43:$A$53</c:f>
              <c:numCache>
                <c:formatCode>0.0</c:formatCode>
                <c:ptCount val="11"/>
                <c:pt idx="0">
                  <c:v>4</c:v>
                </c:pt>
                <c:pt idx="1">
                  <c:v>4.5</c:v>
                </c:pt>
                <c:pt idx="2">
                  <c:v>5</c:v>
                </c:pt>
                <c:pt idx="3">
                  <c:v>5.5</c:v>
                </c:pt>
                <c:pt idx="4">
                  <c:v>6</c:v>
                </c:pt>
                <c:pt idx="5">
                  <c:v>6.5</c:v>
                </c:pt>
                <c:pt idx="6">
                  <c:v>7</c:v>
                </c:pt>
                <c:pt idx="7">
                  <c:v>7.5</c:v>
                </c:pt>
                <c:pt idx="8">
                  <c:v>8</c:v>
                </c:pt>
                <c:pt idx="9">
                  <c:v>8.5</c:v>
                </c:pt>
                <c:pt idx="10">
                  <c:v>9</c:v>
                </c:pt>
              </c:numCache>
            </c:numRef>
          </c:xVal>
          <c:yVal>
            <c:numRef>
              <c:f>pH!$E$43:$E$53</c:f>
              <c:numCache>
                <c:formatCode>0.00</c:formatCode>
                <c:ptCount val="11"/>
                <c:pt idx="0">
                  <c:v>0.51620567394549643</c:v>
                </c:pt>
                <c:pt idx="1">
                  <c:v>0.66697681085847449</c:v>
                </c:pt>
                <c:pt idx="2">
                  <c:v>0.809571648667887</c:v>
                </c:pt>
                <c:pt idx="3">
                  <c:v>0.92311634638663587</c:v>
                </c:pt>
                <c:pt idx="4">
                  <c:v>0.98881304461123309</c:v>
                </c:pt>
                <c:pt idx="5">
                  <c:v>0.99501247919268232</c:v>
                </c:pt>
                <c:pt idx="6">
                  <c:v>0.94058806336434209</c:v>
                </c:pt>
                <c:pt idx="7">
                  <c:v>0.835270211411272</c:v>
                </c:pt>
                <c:pt idx="8">
                  <c:v>0.6968047754960347</c:v>
                </c:pt>
                <c:pt idx="9">
                  <c:v>0.5460744266397094</c:v>
                </c:pt>
                <c:pt idx="10">
                  <c:v>0.40202138309465485</c:v>
                </c:pt>
              </c:numCache>
            </c:numRef>
          </c:yVal>
          <c:smooth val="1"/>
        </c:ser>
        <c:ser>
          <c:idx val="4"/>
          <c:order val="4"/>
          <c:tx>
            <c:strRef>
              <c:f>pH!$F$42</c:f>
              <c:strCache>
                <c:ptCount val="1"/>
                <c:pt idx="0">
                  <c:v>cotton</c:v>
                </c:pt>
              </c:strCache>
            </c:strRef>
          </c:tx>
          <c:spPr>
            <a:ln w="12700">
              <a:solidFill>
                <a:srgbClr val="800080"/>
              </a:solidFill>
              <a:prstDash val="solid"/>
            </a:ln>
          </c:spPr>
          <c:marker>
            <c:symbol val="star"/>
            <c:size val="5"/>
            <c:spPr>
              <a:noFill/>
              <a:ln>
                <a:solidFill>
                  <a:srgbClr val="800080"/>
                </a:solidFill>
                <a:prstDash val="solid"/>
              </a:ln>
            </c:spPr>
          </c:marker>
          <c:xVal>
            <c:numRef>
              <c:f>pH!$A$43:$A$53</c:f>
              <c:numCache>
                <c:formatCode>0.0</c:formatCode>
                <c:ptCount val="11"/>
                <c:pt idx="0">
                  <c:v>4</c:v>
                </c:pt>
                <c:pt idx="1">
                  <c:v>4.5</c:v>
                </c:pt>
                <c:pt idx="2">
                  <c:v>5</c:v>
                </c:pt>
                <c:pt idx="3">
                  <c:v>5.5</c:v>
                </c:pt>
                <c:pt idx="4">
                  <c:v>6</c:v>
                </c:pt>
                <c:pt idx="5">
                  <c:v>6.5</c:v>
                </c:pt>
                <c:pt idx="6">
                  <c:v>7</c:v>
                </c:pt>
                <c:pt idx="7">
                  <c:v>7.5</c:v>
                </c:pt>
                <c:pt idx="8">
                  <c:v>8</c:v>
                </c:pt>
                <c:pt idx="9">
                  <c:v>8.5</c:v>
                </c:pt>
                <c:pt idx="10">
                  <c:v>9</c:v>
                </c:pt>
              </c:numCache>
            </c:numRef>
          </c:xVal>
          <c:yVal>
            <c:numRef>
              <c:f>pH!$F$43:$F$53</c:f>
              <c:numCache>
                <c:formatCode>0.00</c:formatCode>
                <c:ptCount val="11"/>
                <c:pt idx="0">
                  <c:v>0.51837862088472031</c:v>
                </c:pt>
                <c:pt idx="1">
                  <c:v>0.66551234166270679</c:v>
                </c:pt>
                <c:pt idx="2">
                  <c:v>0.80506261890224251</c:v>
                </c:pt>
                <c:pt idx="3">
                  <c:v>0.91763025882762506</c:v>
                </c:pt>
                <c:pt idx="4">
                  <c:v>0.98553103826693367</c:v>
                </c:pt>
                <c:pt idx="5">
                  <c:v>0.99732660192112588</c:v>
                </c:pt>
                <c:pt idx="6">
                  <c:v>0.95097481655801186</c:v>
                </c:pt>
                <c:pt idx="7">
                  <c:v>0.85440768400029199</c:v>
                </c:pt>
                <c:pt idx="8">
                  <c:v>0.72331220103294291</c:v>
                </c:pt>
                <c:pt idx="9">
                  <c:v>0.57696697154618914</c:v>
                </c:pt>
                <c:pt idx="10">
                  <c:v>0.43365127805244447</c:v>
                </c:pt>
              </c:numCache>
            </c:numRef>
          </c:yVal>
          <c:smooth val="1"/>
        </c:ser>
        <c:ser>
          <c:idx val="5"/>
          <c:order val="5"/>
          <c:tx>
            <c:strRef>
              <c:f>pH!$G$42</c:f>
              <c:strCache>
                <c:ptCount val="1"/>
                <c:pt idx="0">
                  <c:v>safflower</c:v>
                </c:pt>
              </c:strCache>
            </c:strRef>
          </c:tx>
          <c:spPr>
            <a:ln w="12700">
              <a:solidFill>
                <a:srgbClr val="800000"/>
              </a:solidFill>
              <a:prstDash val="solid"/>
            </a:ln>
          </c:spPr>
          <c:marker>
            <c:symbol val="circle"/>
            <c:size val="5"/>
            <c:spPr>
              <a:solidFill>
                <a:srgbClr val="800000"/>
              </a:solidFill>
              <a:ln>
                <a:solidFill>
                  <a:srgbClr val="800000"/>
                </a:solidFill>
                <a:prstDash val="solid"/>
              </a:ln>
            </c:spPr>
          </c:marker>
          <c:xVal>
            <c:numRef>
              <c:f>pH!$A$43:$A$53</c:f>
              <c:numCache>
                <c:formatCode>0.0</c:formatCode>
                <c:ptCount val="11"/>
                <c:pt idx="0">
                  <c:v>4</c:v>
                </c:pt>
                <c:pt idx="1">
                  <c:v>4.5</c:v>
                </c:pt>
                <c:pt idx="2">
                  <c:v>5</c:v>
                </c:pt>
                <c:pt idx="3">
                  <c:v>5.5</c:v>
                </c:pt>
                <c:pt idx="4">
                  <c:v>6</c:v>
                </c:pt>
                <c:pt idx="5">
                  <c:v>6.5</c:v>
                </c:pt>
                <c:pt idx="6">
                  <c:v>7</c:v>
                </c:pt>
                <c:pt idx="7">
                  <c:v>7.5</c:v>
                </c:pt>
                <c:pt idx="8">
                  <c:v>8</c:v>
                </c:pt>
                <c:pt idx="9">
                  <c:v>8.5</c:v>
                </c:pt>
                <c:pt idx="10">
                  <c:v>9</c:v>
                </c:pt>
              </c:numCache>
            </c:numRef>
          </c:xVal>
          <c:yVal>
            <c:numRef>
              <c:f>pH!$G$43:$G$53</c:f>
              <c:numCache>
                <c:formatCode>0.00</c:formatCode>
                <c:ptCount val="11"/>
                <c:pt idx="0">
                  <c:v>0.181146692974268</c:v>
                </c:pt>
                <c:pt idx="1">
                  <c:v>0.30294170763221218</c:v>
                </c:pt>
                <c:pt idx="2">
                  <c:v>0.46217623523916485</c:v>
                </c:pt>
                <c:pt idx="3">
                  <c:v>0.64324443020936439</c:v>
                </c:pt>
                <c:pt idx="4">
                  <c:v>0.81670335646008396</c:v>
                </c:pt>
                <c:pt idx="5">
                  <c:v>0.94595946890676541</c:v>
                </c:pt>
                <c:pt idx="6">
                  <c:v>0.99954096856440822</c:v>
                </c:pt>
                <c:pt idx="7">
                  <c:v>0.96349297464906791</c:v>
                </c:pt>
                <c:pt idx="8">
                  <c:v>0.84725938374718901</c:v>
                </c:pt>
                <c:pt idx="9">
                  <c:v>0.67967939634684116</c:v>
                </c:pt>
                <c:pt idx="10">
                  <c:v>0.49740678466922522</c:v>
                </c:pt>
              </c:numCache>
            </c:numRef>
          </c:yVal>
          <c:smooth val="1"/>
        </c:ser>
        <c:dLbls>
          <c:showLegendKey val="0"/>
          <c:showVal val="0"/>
          <c:showCatName val="0"/>
          <c:showSerName val="0"/>
          <c:showPercent val="0"/>
          <c:showBubbleSize val="0"/>
        </c:dLbls>
        <c:axId val="406004656"/>
        <c:axId val="406001128"/>
      </c:scatterChart>
      <c:valAx>
        <c:axId val="406004656"/>
        <c:scaling>
          <c:orientation val="minMax"/>
          <c:max val="9"/>
          <c:min val="4"/>
        </c:scaling>
        <c:delete val="0"/>
        <c:axPos val="b"/>
        <c:title>
          <c:tx>
            <c:rich>
              <a:bodyPr/>
              <a:lstStyle/>
              <a:p>
                <a:pPr>
                  <a:defRPr sz="800" b="1" i="0" u="none" strike="noStrike" baseline="0">
                    <a:solidFill>
                      <a:srgbClr val="000000"/>
                    </a:solidFill>
                    <a:latin typeface="Geneva"/>
                    <a:ea typeface="Geneva"/>
                    <a:cs typeface="Geneva"/>
                  </a:defRPr>
                </a:pPr>
                <a:r>
                  <a:rPr lang="en-US"/>
                  <a:t>soil pH</a:t>
                </a:r>
              </a:p>
            </c:rich>
          </c:tx>
          <c:layout>
            <c:manualLayout>
              <c:xMode val="edge"/>
              <c:yMode val="edge"/>
              <c:x val="0.34560909741654194"/>
              <c:y val="0.88372090648202062"/>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Geneva"/>
                <a:ea typeface="Geneva"/>
                <a:cs typeface="Geneva"/>
              </a:defRPr>
            </a:pPr>
            <a:endParaRPr lang="en-US"/>
          </a:p>
        </c:txPr>
        <c:crossAx val="406001128"/>
        <c:crosses val="autoZero"/>
        <c:crossBetween val="midCat"/>
      </c:valAx>
      <c:valAx>
        <c:axId val="406001128"/>
        <c:scaling>
          <c:orientation val="minMax"/>
        </c:scaling>
        <c:delete val="0"/>
        <c:axPos val="l"/>
        <c:majorGridlines>
          <c:spPr>
            <a:ln w="3175">
              <a:solidFill>
                <a:srgbClr val="FFFFFF"/>
              </a:solidFill>
              <a:prstDash val="solid"/>
            </a:ln>
          </c:spPr>
        </c:majorGridlines>
        <c:title>
          <c:tx>
            <c:rich>
              <a:bodyPr/>
              <a:lstStyle/>
              <a:p>
                <a:pPr>
                  <a:defRPr sz="800" b="1" i="0" u="none" strike="noStrike" baseline="0">
                    <a:solidFill>
                      <a:srgbClr val="000000"/>
                    </a:solidFill>
                    <a:latin typeface="Geneva"/>
                    <a:ea typeface="Geneva"/>
                    <a:cs typeface="Geneva"/>
                  </a:defRPr>
                </a:pPr>
                <a:r>
                  <a:rPr lang="en-US"/>
                  <a:t>score</a:t>
                </a:r>
              </a:p>
            </c:rich>
          </c:tx>
          <c:layout>
            <c:manualLayout>
              <c:xMode val="edge"/>
              <c:yMode val="edge"/>
              <c:x val="2.5495650853560672E-2"/>
              <c:y val="0.39069773379494915"/>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Geneva"/>
                <a:ea typeface="Geneva"/>
                <a:cs typeface="Geneva"/>
              </a:defRPr>
            </a:pPr>
            <a:endParaRPr lang="en-US"/>
          </a:p>
        </c:txPr>
        <c:crossAx val="406004656"/>
        <c:crosses val="autoZero"/>
        <c:crossBetween val="midCat"/>
      </c:valAx>
      <c:spPr>
        <a:solidFill>
          <a:srgbClr val="FFFFFF"/>
        </a:solidFill>
        <a:ln w="25400">
          <a:noFill/>
        </a:ln>
      </c:spPr>
    </c:plotArea>
    <c:legend>
      <c:legendPos val="r"/>
      <c:layout>
        <c:manualLayout>
          <c:xMode val="edge"/>
          <c:yMode val="edge"/>
          <c:x val="0.65702642025118818"/>
          <c:y val="0.14007833164823283"/>
          <c:w val="0.31405040020823871"/>
          <c:h val="0.58755017004197396"/>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Geneva"/>
              <a:ea typeface="Geneva"/>
              <a:cs typeface="Geneva"/>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Geneva"/>
          <a:ea typeface="Geneva"/>
          <a:cs typeface="Geneva"/>
        </a:defRPr>
      </a:pPr>
      <a:endParaRPr lang="en-US"/>
    </a:p>
  </c:txPr>
  <c:printSettings>
    <c:headerFooter alignWithMargins="0"/>
    <c:pageMargins b="1" l="0.75000000000000211" r="0.75000000000000211"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03848438062636"/>
          <c:y val="0.10921515356922799"/>
          <c:w val="0.46277734194818615"/>
          <c:h val="0.72696336594517319"/>
        </c:manualLayout>
      </c:layout>
      <c:scatterChart>
        <c:scatterStyle val="smoothMarker"/>
        <c:varyColors val="0"/>
        <c:ser>
          <c:idx val="0"/>
          <c:order val="0"/>
          <c:tx>
            <c:strRef>
              <c:f>pH!$B$57</c:f>
              <c:strCache>
                <c:ptCount val="1"/>
                <c:pt idx="0">
                  <c:v>soybean</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xVal>
            <c:numRef>
              <c:f>pH!$A$58:$A$68</c:f>
              <c:numCache>
                <c:formatCode>0.0</c:formatCode>
                <c:ptCount val="11"/>
                <c:pt idx="0">
                  <c:v>4</c:v>
                </c:pt>
                <c:pt idx="1">
                  <c:v>4.5</c:v>
                </c:pt>
                <c:pt idx="2">
                  <c:v>5</c:v>
                </c:pt>
                <c:pt idx="3">
                  <c:v>5.5</c:v>
                </c:pt>
                <c:pt idx="4">
                  <c:v>6</c:v>
                </c:pt>
                <c:pt idx="5">
                  <c:v>6.5</c:v>
                </c:pt>
                <c:pt idx="6">
                  <c:v>7</c:v>
                </c:pt>
                <c:pt idx="7">
                  <c:v>7.5</c:v>
                </c:pt>
                <c:pt idx="8">
                  <c:v>8</c:v>
                </c:pt>
                <c:pt idx="9">
                  <c:v>8.5</c:v>
                </c:pt>
                <c:pt idx="10">
                  <c:v>9</c:v>
                </c:pt>
              </c:numCache>
            </c:numRef>
          </c:xVal>
          <c:yVal>
            <c:numRef>
              <c:f>pH!$B$58:$B$68</c:f>
              <c:numCache>
                <c:formatCode>0.00</c:formatCode>
                <c:ptCount val="11"/>
                <c:pt idx="0">
                  <c:v>0.50869238938862582</c:v>
                </c:pt>
                <c:pt idx="1">
                  <c:v>0.66439069338320045</c:v>
                </c:pt>
                <c:pt idx="2">
                  <c:v>0.81170788633720103</c:v>
                </c:pt>
                <c:pt idx="3">
                  <c:v>0.92764950158563031</c:v>
                </c:pt>
                <c:pt idx="4">
                  <c:v>0.99169012947324686</c:v>
                </c:pt>
                <c:pt idx="5">
                  <c:v>0.99169012947324686</c:v>
                </c:pt>
                <c:pt idx="6">
                  <c:v>0.92764950158563031</c:v>
                </c:pt>
                <c:pt idx="7">
                  <c:v>0.81170788633720103</c:v>
                </c:pt>
                <c:pt idx="8">
                  <c:v>0.66439069338320045</c:v>
                </c:pt>
                <c:pt idx="9">
                  <c:v>0.50869238938862582</c:v>
                </c:pt>
                <c:pt idx="10">
                  <c:v>0.36432994221090353</c:v>
                </c:pt>
              </c:numCache>
            </c:numRef>
          </c:yVal>
          <c:smooth val="1"/>
        </c:ser>
        <c:ser>
          <c:idx val="1"/>
          <c:order val="1"/>
          <c:tx>
            <c:strRef>
              <c:f>pH!$C$57</c:f>
              <c:strCache>
                <c:ptCount val="1"/>
                <c:pt idx="0">
                  <c:v>dry beans</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xVal>
            <c:numRef>
              <c:f>pH!$A$58:$A$68</c:f>
              <c:numCache>
                <c:formatCode>0.0</c:formatCode>
                <c:ptCount val="11"/>
                <c:pt idx="0">
                  <c:v>4</c:v>
                </c:pt>
                <c:pt idx="1">
                  <c:v>4.5</c:v>
                </c:pt>
                <c:pt idx="2">
                  <c:v>5</c:v>
                </c:pt>
                <c:pt idx="3">
                  <c:v>5.5</c:v>
                </c:pt>
                <c:pt idx="4">
                  <c:v>6</c:v>
                </c:pt>
                <c:pt idx="5">
                  <c:v>6.5</c:v>
                </c:pt>
                <c:pt idx="6">
                  <c:v>7</c:v>
                </c:pt>
                <c:pt idx="7">
                  <c:v>7.5</c:v>
                </c:pt>
                <c:pt idx="8">
                  <c:v>8</c:v>
                </c:pt>
                <c:pt idx="9">
                  <c:v>8.5</c:v>
                </c:pt>
                <c:pt idx="10">
                  <c:v>9</c:v>
                </c:pt>
              </c:numCache>
            </c:numRef>
          </c:xVal>
          <c:yVal>
            <c:numRef>
              <c:f>pH!$C$58:$C$68</c:f>
              <c:numCache>
                <c:formatCode>0.00</c:formatCode>
                <c:ptCount val="11"/>
                <c:pt idx="0">
                  <c:v>0.8271135906024325</c:v>
                </c:pt>
                <c:pt idx="1">
                  <c:v>0.88902104463088139</c:v>
                </c:pt>
                <c:pt idx="2">
                  <c:v>0.93928066443137359</c:v>
                </c:pt>
                <c:pt idx="3">
                  <c:v>0.97547283347800895</c:v>
                </c:pt>
                <c:pt idx="4">
                  <c:v>0.99579841740831798</c:v>
                </c:pt>
                <c:pt idx="5">
                  <c:v>0.99922695392608873</c:v>
                </c:pt>
                <c:pt idx="6">
                  <c:v>0.98558323027647388</c:v>
                </c:pt>
                <c:pt idx="7">
                  <c:v>0.9555621220308107</c:v>
                </c:pt>
                <c:pt idx="8">
                  <c:v>0.91066994375987564</c:v>
                </c:pt>
                <c:pt idx="9">
                  <c:v>0.8530992026965607</c:v>
                </c:pt>
                <c:pt idx="10">
                  <c:v>0.78555125184845287</c:v>
                </c:pt>
              </c:numCache>
            </c:numRef>
          </c:yVal>
          <c:smooth val="1"/>
        </c:ser>
        <c:ser>
          <c:idx val="2"/>
          <c:order val="2"/>
          <c:tx>
            <c:strRef>
              <c:f>pH!$D$57</c:f>
              <c:strCache>
                <c:ptCount val="1"/>
                <c:pt idx="0">
                  <c:v>wheat</c:v>
                </c:pt>
              </c:strCache>
            </c:strRef>
          </c:tx>
          <c:spPr>
            <a:ln w="12700">
              <a:solidFill>
                <a:srgbClr val="FFFF00"/>
              </a:solidFill>
              <a:prstDash val="solid"/>
            </a:ln>
          </c:spPr>
          <c:marker>
            <c:symbol val="triangle"/>
            <c:size val="5"/>
            <c:spPr>
              <a:solidFill>
                <a:srgbClr val="FFFF00"/>
              </a:solidFill>
              <a:ln>
                <a:solidFill>
                  <a:srgbClr val="FFFF00"/>
                </a:solidFill>
                <a:prstDash val="solid"/>
              </a:ln>
            </c:spPr>
          </c:marker>
          <c:xVal>
            <c:numRef>
              <c:f>pH!$A$58:$A$68</c:f>
              <c:numCache>
                <c:formatCode>0.0</c:formatCode>
                <c:ptCount val="11"/>
                <c:pt idx="0">
                  <c:v>4</c:v>
                </c:pt>
                <c:pt idx="1">
                  <c:v>4.5</c:v>
                </c:pt>
                <c:pt idx="2">
                  <c:v>5</c:v>
                </c:pt>
                <c:pt idx="3">
                  <c:v>5.5</c:v>
                </c:pt>
                <c:pt idx="4">
                  <c:v>6</c:v>
                </c:pt>
                <c:pt idx="5">
                  <c:v>6.5</c:v>
                </c:pt>
                <c:pt idx="6">
                  <c:v>7</c:v>
                </c:pt>
                <c:pt idx="7">
                  <c:v>7.5</c:v>
                </c:pt>
                <c:pt idx="8">
                  <c:v>8</c:v>
                </c:pt>
                <c:pt idx="9">
                  <c:v>8.5</c:v>
                </c:pt>
                <c:pt idx="10">
                  <c:v>9</c:v>
                </c:pt>
              </c:numCache>
            </c:numRef>
          </c:xVal>
          <c:yVal>
            <c:numRef>
              <c:f>pH!$D$58:$D$68</c:f>
              <c:numCache>
                <c:formatCode>0.00</c:formatCode>
                <c:ptCount val="11"/>
                <c:pt idx="0">
                  <c:v>0.82361143635106904</c:v>
                </c:pt>
                <c:pt idx="1">
                  <c:v>0.88793656829393097</c:v>
                </c:pt>
                <c:pt idx="2">
                  <c:v>0.9398872670076226</c:v>
                </c:pt>
                <c:pt idx="3">
                  <c:v>0.97679592784689451</c:v>
                </c:pt>
                <c:pt idx="4">
                  <c:v>0.99670391708497075</c:v>
                </c:pt>
                <c:pt idx="5">
                  <c:v>0.99853373070819706</c:v>
                </c:pt>
                <c:pt idx="6">
                  <c:v>0.98218560620895479</c:v>
                </c:pt>
                <c:pt idx="7">
                  <c:v>0.94854653285384338</c:v>
                </c:pt>
                <c:pt idx="8">
                  <c:v>0.89941052800881904</c:v>
                </c:pt>
                <c:pt idx="9">
                  <c:v>0.83732015109434177</c:v>
                </c:pt>
                <c:pt idx="10">
                  <c:v>0.76534873678944626</c:v>
                </c:pt>
              </c:numCache>
            </c:numRef>
          </c:yVal>
          <c:smooth val="1"/>
        </c:ser>
        <c:ser>
          <c:idx val="3"/>
          <c:order val="3"/>
          <c:tx>
            <c:strRef>
              <c:f>pH!$E$57</c:f>
              <c:strCache>
                <c:ptCount val="1"/>
                <c:pt idx="0">
                  <c:v>corn</c:v>
                </c:pt>
              </c:strCache>
            </c:strRef>
          </c:tx>
          <c:spPr>
            <a:ln w="12700">
              <a:solidFill>
                <a:srgbClr val="00FFFF"/>
              </a:solidFill>
              <a:prstDash val="solid"/>
            </a:ln>
          </c:spPr>
          <c:marker>
            <c:symbol val="x"/>
            <c:size val="5"/>
            <c:spPr>
              <a:noFill/>
              <a:ln>
                <a:solidFill>
                  <a:srgbClr val="00FFFF"/>
                </a:solidFill>
                <a:prstDash val="solid"/>
              </a:ln>
            </c:spPr>
          </c:marker>
          <c:xVal>
            <c:numRef>
              <c:f>pH!$A$58:$A$68</c:f>
              <c:numCache>
                <c:formatCode>0.0</c:formatCode>
                <c:ptCount val="11"/>
                <c:pt idx="0">
                  <c:v>4</c:v>
                </c:pt>
                <c:pt idx="1">
                  <c:v>4.5</c:v>
                </c:pt>
                <c:pt idx="2">
                  <c:v>5</c:v>
                </c:pt>
                <c:pt idx="3">
                  <c:v>5.5</c:v>
                </c:pt>
                <c:pt idx="4">
                  <c:v>6</c:v>
                </c:pt>
                <c:pt idx="5">
                  <c:v>6.5</c:v>
                </c:pt>
                <c:pt idx="6">
                  <c:v>7</c:v>
                </c:pt>
                <c:pt idx="7">
                  <c:v>7.5</c:v>
                </c:pt>
                <c:pt idx="8">
                  <c:v>8</c:v>
                </c:pt>
                <c:pt idx="9">
                  <c:v>8.5</c:v>
                </c:pt>
                <c:pt idx="10">
                  <c:v>9</c:v>
                </c:pt>
              </c:numCache>
            </c:numRef>
          </c:xVal>
          <c:yVal>
            <c:numRef>
              <c:f>pH!$E$58:$E$68</c:f>
              <c:numCache>
                <c:formatCode>0.00</c:formatCode>
                <c:ptCount val="11"/>
                <c:pt idx="0">
                  <c:v>0.82361143635106904</c:v>
                </c:pt>
                <c:pt idx="1">
                  <c:v>0.88793656829393097</c:v>
                </c:pt>
                <c:pt idx="2">
                  <c:v>0.9398872670076226</c:v>
                </c:pt>
                <c:pt idx="3">
                  <c:v>0.97679592784689451</c:v>
                </c:pt>
                <c:pt idx="4">
                  <c:v>0.99670391708497075</c:v>
                </c:pt>
                <c:pt idx="5">
                  <c:v>0.99853373070819706</c:v>
                </c:pt>
                <c:pt idx="6">
                  <c:v>0.98218560620895479</c:v>
                </c:pt>
                <c:pt idx="7">
                  <c:v>0.94854653285384338</c:v>
                </c:pt>
                <c:pt idx="8">
                  <c:v>0.89941052800881904</c:v>
                </c:pt>
                <c:pt idx="9">
                  <c:v>0.83732015109434177</c:v>
                </c:pt>
                <c:pt idx="10">
                  <c:v>0.76534873678944626</c:v>
                </c:pt>
              </c:numCache>
            </c:numRef>
          </c:yVal>
          <c:smooth val="1"/>
        </c:ser>
        <c:ser>
          <c:idx val="4"/>
          <c:order val="4"/>
          <c:tx>
            <c:strRef>
              <c:f>pH!$F$57</c:f>
              <c:strCache>
                <c:ptCount val="1"/>
                <c:pt idx="0">
                  <c:v>cotton</c:v>
                </c:pt>
              </c:strCache>
            </c:strRef>
          </c:tx>
          <c:spPr>
            <a:ln w="12700">
              <a:solidFill>
                <a:srgbClr val="800080"/>
              </a:solidFill>
              <a:prstDash val="solid"/>
            </a:ln>
          </c:spPr>
          <c:marker>
            <c:symbol val="star"/>
            <c:size val="5"/>
            <c:spPr>
              <a:noFill/>
              <a:ln>
                <a:solidFill>
                  <a:srgbClr val="800080"/>
                </a:solidFill>
                <a:prstDash val="solid"/>
              </a:ln>
            </c:spPr>
          </c:marker>
          <c:xVal>
            <c:numRef>
              <c:f>pH!$A$58:$A$68</c:f>
              <c:numCache>
                <c:formatCode>0.0</c:formatCode>
                <c:ptCount val="11"/>
                <c:pt idx="0">
                  <c:v>4</c:v>
                </c:pt>
                <c:pt idx="1">
                  <c:v>4.5</c:v>
                </c:pt>
                <c:pt idx="2">
                  <c:v>5</c:v>
                </c:pt>
                <c:pt idx="3">
                  <c:v>5.5</c:v>
                </c:pt>
                <c:pt idx="4">
                  <c:v>6</c:v>
                </c:pt>
                <c:pt idx="5">
                  <c:v>6.5</c:v>
                </c:pt>
                <c:pt idx="6">
                  <c:v>7</c:v>
                </c:pt>
                <c:pt idx="7">
                  <c:v>7.5</c:v>
                </c:pt>
                <c:pt idx="8">
                  <c:v>8</c:v>
                </c:pt>
                <c:pt idx="9">
                  <c:v>8.5</c:v>
                </c:pt>
                <c:pt idx="10">
                  <c:v>9</c:v>
                </c:pt>
              </c:numCache>
            </c:numRef>
          </c:xVal>
          <c:yVal>
            <c:numRef>
              <c:f>pH!$F$58:$F$68</c:f>
              <c:numCache>
                <c:formatCode>0.00</c:formatCode>
                <c:ptCount val="11"/>
                <c:pt idx="0">
                  <c:v>0.8271135906024325</c:v>
                </c:pt>
                <c:pt idx="1">
                  <c:v>0.88902104463088139</c:v>
                </c:pt>
                <c:pt idx="2">
                  <c:v>0.93928066443137359</c:v>
                </c:pt>
                <c:pt idx="3">
                  <c:v>0.97547283347800895</c:v>
                </c:pt>
                <c:pt idx="4">
                  <c:v>0.99579841740831798</c:v>
                </c:pt>
                <c:pt idx="5">
                  <c:v>0.99922695392608873</c:v>
                </c:pt>
                <c:pt idx="6">
                  <c:v>0.98558323027647388</c:v>
                </c:pt>
                <c:pt idx="7">
                  <c:v>0.9555621220308107</c:v>
                </c:pt>
                <c:pt idx="8">
                  <c:v>0.91066994375987564</c:v>
                </c:pt>
                <c:pt idx="9">
                  <c:v>0.8530992026965607</c:v>
                </c:pt>
                <c:pt idx="10">
                  <c:v>0.78555125184845287</c:v>
                </c:pt>
              </c:numCache>
            </c:numRef>
          </c:yVal>
          <c:smooth val="1"/>
        </c:ser>
        <c:ser>
          <c:idx val="5"/>
          <c:order val="5"/>
          <c:tx>
            <c:strRef>
              <c:f>pH!$G$57</c:f>
              <c:strCache>
                <c:ptCount val="1"/>
                <c:pt idx="0">
                  <c:v>safflower</c:v>
                </c:pt>
              </c:strCache>
            </c:strRef>
          </c:tx>
          <c:spPr>
            <a:ln w="12700">
              <a:solidFill>
                <a:srgbClr val="800000"/>
              </a:solidFill>
              <a:prstDash val="solid"/>
            </a:ln>
          </c:spPr>
          <c:marker>
            <c:symbol val="circle"/>
            <c:size val="5"/>
            <c:spPr>
              <a:solidFill>
                <a:srgbClr val="800000"/>
              </a:solidFill>
              <a:ln>
                <a:solidFill>
                  <a:srgbClr val="800000"/>
                </a:solidFill>
                <a:prstDash val="solid"/>
              </a:ln>
            </c:spPr>
          </c:marker>
          <c:xVal>
            <c:numRef>
              <c:f>pH!$A$58:$A$68</c:f>
              <c:numCache>
                <c:formatCode>0.0</c:formatCode>
                <c:ptCount val="11"/>
                <c:pt idx="0">
                  <c:v>4</c:v>
                </c:pt>
                <c:pt idx="1">
                  <c:v>4.5</c:v>
                </c:pt>
                <c:pt idx="2">
                  <c:v>5</c:v>
                </c:pt>
                <c:pt idx="3">
                  <c:v>5.5</c:v>
                </c:pt>
                <c:pt idx="4">
                  <c:v>6</c:v>
                </c:pt>
                <c:pt idx="5">
                  <c:v>6.5</c:v>
                </c:pt>
                <c:pt idx="6">
                  <c:v>7</c:v>
                </c:pt>
                <c:pt idx="7">
                  <c:v>7.5</c:v>
                </c:pt>
                <c:pt idx="8">
                  <c:v>8</c:v>
                </c:pt>
                <c:pt idx="9">
                  <c:v>8.5</c:v>
                </c:pt>
                <c:pt idx="10">
                  <c:v>9</c:v>
                </c:pt>
              </c:numCache>
            </c:numRef>
          </c:xVal>
          <c:yVal>
            <c:numRef>
              <c:f>pH!$G$58:$G$68</c:f>
              <c:numCache>
                <c:formatCode>0.00</c:formatCode>
                <c:ptCount val="11"/>
                <c:pt idx="0">
                  <c:v>0.57019167812109273</c:v>
                </c:pt>
                <c:pt idx="1">
                  <c:v>0.67523852787772121</c:v>
                </c:pt>
                <c:pt idx="2">
                  <c:v>0.77585385452206845</c:v>
                </c:pt>
                <c:pt idx="3">
                  <c:v>0.86494600618521589</c:v>
                </c:pt>
                <c:pt idx="4">
                  <c:v>0.9355875655883904</c:v>
                </c:pt>
                <c:pt idx="5">
                  <c:v>0.98189772223740368</c:v>
                </c:pt>
                <c:pt idx="6">
                  <c:v>0.99984903512725531</c:v>
                </c:pt>
                <c:pt idx="7">
                  <c:v>0.98784539349488709</c:v>
                </c:pt>
                <c:pt idx="8">
                  <c:v>0.9469562047772524</c:v>
                </c:pt>
                <c:pt idx="9">
                  <c:v>0.8807591769852029</c:v>
                </c:pt>
                <c:pt idx="10">
                  <c:v>0.79482373548391572</c:v>
                </c:pt>
              </c:numCache>
            </c:numRef>
          </c:yVal>
          <c:smooth val="1"/>
        </c:ser>
        <c:dLbls>
          <c:showLegendKey val="0"/>
          <c:showVal val="0"/>
          <c:showCatName val="0"/>
          <c:showSerName val="0"/>
          <c:showPercent val="0"/>
          <c:showBubbleSize val="0"/>
        </c:dLbls>
        <c:axId val="406006224"/>
        <c:axId val="406005440"/>
      </c:scatterChart>
      <c:valAx>
        <c:axId val="406006224"/>
        <c:scaling>
          <c:orientation val="minMax"/>
          <c:max val="9"/>
          <c:min val="4"/>
        </c:scaling>
        <c:delete val="0"/>
        <c:axPos val="b"/>
        <c:title>
          <c:tx>
            <c:rich>
              <a:bodyPr/>
              <a:lstStyle/>
              <a:p>
                <a:pPr>
                  <a:defRPr sz="850" b="1" i="0" u="none" strike="noStrike" baseline="0">
                    <a:solidFill>
                      <a:srgbClr val="000000"/>
                    </a:solidFill>
                    <a:latin typeface="Geneva"/>
                    <a:ea typeface="Geneva"/>
                    <a:cs typeface="Geneva"/>
                  </a:defRPr>
                </a:pPr>
                <a:r>
                  <a:rPr lang="en-US"/>
                  <a:t>soil pH</a:t>
                </a:r>
              </a:p>
            </c:rich>
          </c:tx>
          <c:layout>
            <c:manualLayout>
              <c:xMode val="edge"/>
              <c:yMode val="edge"/>
              <c:x val="0.34340716213290262"/>
              <c:y val="0.89795938476973647"/>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Geneva"/>
                <a:ea typeface="Geneva"/>
                <a:cs typeface="Geneva"/>
              </a:defRPr>
            </a:pPr>
            <a:endParaRPr lang="en-US"/>
          </a:p>
        </c:txPr>
        <c:crossAx val="406005440"/>
        <c:crosses val="autoZero"/>
        <c:crossBetween val="midCat"/>
      </c:valAx>
      <c:valAx>
        <c:axId val="406005440"/>
        <c:scaling>
          <c:orientation val="minMax"/>
        </c:scaling>
        <c:delete val="0"/>
        <c:axPos val="l"/>
        <c:majorGridlines>
          <c:spPr>
            <a:ln w="3175">
              <a:solidFill>
                <a:srgbClr val="FFFFFF"/>
              </a:solidFill>
              <a:prstDash val="solid"/>
            </a:ln>
          </c:spPr>
        </c:majorGridlines>
        <c:title>
          <c:tx>
            <c:rich>
              <a:bodyPr/>
              <a:lstStyle/>
              <a:p>
                <a:pPr>
                  <a:defRPr sz="850" b="1" i="0" u="none" strike="noStrike" baseline="0">
                    <a:solidFill>
                      <a:srgbClr val="000000"/>
                    </a:solidFill>
                    <a:latin typeface="Geneva"/>
                    <a:ea typeface="Geneva"/>
                    <a:cs typeface="Geneva"/>
                  </a:defRPr>
                </a:pPr>
                <a:r>
                  <a:rPr lang="en-US"/>
                  <a:t>alt. score</a:t>
                </a:r>
              </a:p>
            </c:rich>
          </c:tx>
          <c:layout>
            <c:manualLayout>
              <c:xMode val="edge"/>
              <c:yMode val="edge"/>
              <c:x val="1.3736223112955951E-2"/>
              <c:y val="0.36326534268540661"/>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Geneva"/>
                <a:ea typeface="Geneva"/>
                <a:cs typeface="Geneva"/>
              </a:defRPr>
            </a:pPr>
            <a:endParaRPr lang="en-US"/>
          </a:p>
        </c:txPr>
        <c:crossAx val="406006224"/>
        <c:crosses val="autoZero"/>
        <c:crossBetween val="midCat"/>
      </c:valAx>
      <c:spPr>
        <a:solidFill>
          <a:srgbClr val="FFFFFF"/>
        </a:solidFill>
        <a:ln w="25400">
          <a:noFill/>
        </a:ln>
      </c:spPr>
    </c:plotArea>
    <c:legend>
      <c:legendPos val="r"/>
      <c:layout>
        <c:manualLayout>
          <c:xMode val="edge"/>
          <c:yMode val="edge"/>
          <c:x val="0.67203324936495612"/>
          <c:y val="0.18430078919315973"/>
          <c:w val="0.30181139329414858"/>
          <c:h val="0.50853287110442247"/>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Geneva"/>
              <a:ea typeface="Geneva"/>
              <a:cs typeface="Geneva"/>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Geneva"/>
          <a:ea typeface="Geneva"/>
          <a:cs typeface="Geneva"/>
        </a:defRPr>
      </a:pPr>
      <a:endParaRPr lang="en-US"/>
    </a:p>
  </c:txPr>
  <c:printSettings>
    <c:headerFooter alignWithMargins="0"/>
    <c:pageMargins b="1" l="0.75000000000000211" r="0.75000000000000211"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57189567843809"/>
          <c:y val="5.5684596698202048E-2"/>
          <c:w val="0.6107158832202586"/>
          <c:h val="0.75870263001300386"/>
        </c:manualLayout>
      </c:layout>
      <c:scatterChart>
        <c:scatterStyle val="smoothMarker"/>
        <c:varyColors val="0"/>
        <c:ser>
          <c:idx val="0"/>
          <c:order val="0"/>
          <c:tx>
            <c:strRef>
              <c:f>PMN!$B$26</c:f>
              <c:strCache>
                <c:ptCount val="1"/>
                <c:pt idx="0">
                  <c:v>Chickasaw</c:v>
                </c:pt>
              </c:strCache>
            </c:strRef>
          </c:tx>
          <c:spPr>
            <a:ln w="25400">
              <a:solidFill>
                <a:srgbClr val="000080"/>
              </a:solidFill>
              <a:prstDash val="solid"/>
            </a:ln>
          </c:spPr>
          <c:marker>
            <c:symbol val="diamond"/>
            <c:size val="5"/>
            <c:spPr>
              <a:solidFill>
                <a:srgbClr val="000080"/>
              </a:solidFill>
              <a:ln w="12700">
                <a:solidFill>
                  <a:srgbClr val="000080"/>
                </a:solidFill>
                <a:prstDash val="solid"/>
              </a:ln>
            </c:spPr>
          </c:marker>
          <c:xVal>
            <c:numRef>
              <c:f>PMN!$A$27:$A$36</c:f>
              <c:numCache>
                <c:formatCode>0.0</c:formatCode>
                <c:ptCount val="10"/>
                <c:pt idx="0">
                  <c:v>2.5</c:v>
                </c:pt>
                <c:pt idx="1">
                  <c:v>5</c:v>
                </c:pt>
                <c:pt idx="2">
                  <c:v>7.5</c:v>
                </c:pt>
                <c:pt idx="3" formatCode="0">
                  <c:v>10</c:v>
                </c:pt>
                <c:pt idx="4">
                  <c:v>12.5</c:v>
                </c:pt>
                <c:pt idx="5" formatCode="0">
                  <c:v>15</c:v>
                </c:pt>
                <c:pt idx="6">
                  <c:v>17.5</c:v>
                </c:pt>
                <c:pt idx="7" formatCode="0">
                  <c:v>20</c:v>
                </c:pt>
                <c:pt idx="8">
                  <c:v>22.5</c:v>
                </c:pt>
                <c:pt idx="9" formatCode="0">
                  <c:v>25</c:v>
                </c:pt>
              </c:numCache>
            </c:numRef>
          </c:xVal>
          <c:yVal>
            <c:numRef>
              <c:f>PMN!$B$27:$B$36</c:f>
              <c:numCache>
                <c:formatCode>0.00</c:formatCode>
                <c:ptCount val="10"/>
                <c:pt idx="0">
                  <c:v>2.1701892462908098E-2</c:v>
                </c:pt>
                <c:pt idx="1">
                  <c:v>7.3546910620160666E-2</c:v>
                </c:pt>
                <c:pt idx="2">
                  <c:v>0.2212382522625384</c:v>
                </c:pt>
                <c:pt idx="3">
                  <c:v>0.5041274137445545</c:v>
                </c:pt>
                <c:pt idx="4">
                  <c:v>0.78439843984543234</c:v>
                </c:pt>
                <c:pt idx="5">
                  <c:v>0.92867156139130946</c:v>
                </c:pt>
                <c:pt idx="6">
                  <c:v>0.97898819229288847</c:v>
                </c:pt>
                <c:pt idx="7">
                  <c:v>0.99403824054966206</c:v>
                </c:pt>
                <c:pt idx="8">
                  <c:v>0.998326870678097</c:v>
                </c:pt>
                <c:pt idx="9">
                  <c:v>0.99953189982685098</c:v>
                </c:pt>
              </c:numCache>
            </c:numRef>
          </c:yVal>
          <c:smooth val="1"/>
        </c:ser>
        <c:ser>
          <c:idx val="1"/>
          <c:order val="1"/>
          <c:tx>
            <c:strRef>
              <c:f>PMN!$C$26</c:f>
              <c:strCache>
                <c:ptCount val="1"/>
                <c:pt idx="0">
                  <c:v>clayey Boroll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xVal>
            <c:numRef>
              <c:f>PMN!$A$27:$A$36</c:f>
              <c:numCache>
                <c:formatCode>0.0</c:formatCode>
                <c:ptCount val="10"/>
                <c:pt idx="0">
                  <c:v>2.5</c:v>
                </c:pt>
                <c:pt idx="1">
                  <c:v>5</c:v>
                </c:pt>
                <c:pt idx="2">
                  <c:v>7.5</c:v>
                </c:pt>
                <c:pt idx="3" formatCode="0">
                  <c:v>10</c:v>
                </c:pt>
                <c:pt idx="4">
                  <c:v>12.5</c:v>
                </c:pt>
                <c:pt idx="5" formatCode="0">
                  <c:v>15</c:v>
                </c:pt>
                <c:pt idx="6">
                  <c:v>17.5</c:v>
                </c:pt>
                <c:pt idx="7" formatCode="0">
                  <c:v>20</c:v>
                </c:pt>
                <c:pt idx="8">
                  <c:v>22.5</c:v>
                </c:pt>
                <c:pt idx="9" formatCode="0">
                  <c:v>25</c:v>
                </c:pt>
              </c:numCache>
            </c:numRef>
          </c:xVal>
          <c:yVal>
            <c:numRef>
              <c:f>PMN!$C$27:$C$36</c:f>
              <c:numCache>
                <c:formatCode>0.00</c:formatCode>
                <c:ptCount val="10"/>
                <c:pt idx="0">
                  <c:v>2.3276883420537159E-2</c:v>
                </c:pt>
                <c:pt idx="1">
                  <c:v>8.3931129679187477E-2</c:v>
                </c:pt>
                <c:pt idx="2">
                  <c:v>0.26048535019729113</c:v>
                </c:pt>
                <c:pt idx="3">
                  <c:v>0.57522460376674689</c:v>
                </c:pt>
                <c:pt idx="4">
                  <c:v>0.83887044260198929</c:v>
                </c:pt>
                <c:pt idx="5">
                  <c:v>0.95241553257599154</c:v>
                </c:pt>
                <c:pt idx="6">
                  <c:v>0.98717109481251131</c:v>
                </c:pt>
                <c:pt idx="7">
                  <c:v>0.996631085294297</c:v>
                </c:pt>
                <c:pt idx="8">
                  <c:v>0.99912151910421909</c:v>
                </c:pt>
                <c:pt idx="9">
                  <c:v>0.99977134899377429</c:v>
                </c:pt>
              </c:numCache>
            </c:numRef>
          </c:yVal>
          <c:smooth val="1"/>
        </c:ser>
        <c:ser>
          <c:idx val="2"/>
          <c:order val="2"/>
          <c:tx>
            <c:strRef>
              <c:f>PMN!$D$26</c:f>
              <c:strCache>
                <c:ptCount val="1"/>
                <c:pt idx="0">
                  <c:v>loamy Boroll</c:v>
                </c:pt>
              </c:strCache>
            </c:strRef>
          </c:tx>
          <c:spPr>
            <a:ln w="12700">
              <a:solidFill>
                <a:srgbClr val="FFFF00"/>
              </a:solidFill>
              <a:prstDash val="solid"/>
            </a:ln>
          </c:spPr>
          <c:marker>
            <c:symbol val="triangle"/>
            <c:size val="5"/>
            <c:spPr>
              <a:solidFill>
                <a:srgbClr val="FFFF00"/>
              </a:solidFill>
              <a:ln>
                <a:solidFill>
                  <a:srgbClr val="FFFF00"/>
                </a:solidFill>
                <a:prstDash val="solid"/>
              </a:ln>
            </c:spPr>
          </c:marker>
          <c:xVal>
            <c:numRef>
              <c:f>PMN!$A$27:$A$36</c:f>
              <c:numCache>
                <c:formatCode>0.0</c:formatCode>
                <c:ptCount val="10"/>
                <c:pt idx="0">
                  <c:v>2.5</c:v>
                </c:pt>
                <c:pt idx="1">
                  <c:v>5</c:v>
                </c:pt>
                <c:pt idx="2">
                  <c:v>7.5</c:v>
                </c:pt>
                <c:pt idx="3" formatCode="0">
                  <c:v>10</c:v>
                </c:pt>
                <c:pt idx="4">
                  <c:v>12.5</c:v>
                </c:pt>
                <c:pt idx="5" formatCode="0">
                  <c:v>15</c:v>
                </c:pt>
                <c:pt idx="6">
                  <c:v>17.5</c:v>
                </c:pt>
                <c:pt idx="7" formatCode="0">
                  <c:v>20</c:v>
                </c:pt>
                <c:pt idx="8">
                  <c:v>22.5</c:v>
                </c:pt>
                <c:pt idx="9" formatCode="0">
                  <c:v>25</c:v>
                </c:pt>
              </c:numCache>
            </c:numRef>
          </c:xVal>
          <c:yVal>
            <c:numRef>
              <c:f>PMN!$D$27:$D$36</c:f>
              <c:numCache>
                <c:formatCode>0.00</c:formatCode>
                <c:ptCount val="10"/>
                <c:pt idx="0">
                  <c:v>2.1635300939885558E-2</c:v>
                </c:pt>
                <c:pt idx="1">
                  <c:v>7.3119980359065792E-2</c:v>
                </c:pt>
                <c:pt idx="2">
                  <c:v>0.21961888262059917</c:v>
                </c:pt>
                <c:pt idx="3">
                  <c:v>0.50098625621959425</c:v>
                </c:pt>
                <c:pt idx="4">
                  <c:v>0.78173037472688622</c:v>
                </c:pt>
                <c:pt idx="5">
                  <c:v>0.92741295845716332</c:v>
                </c:pt>
                <c:pt idx="6">
                  <c:v>0.9785310808117107</c:v>
                </c:pt>
                <c:pt idx="7">
                  <c:v>0.99388745057016892</c:v>
                </c:pt>
                <c:pt idx="8">
                  <c:v>0.99827897680781308</c:v>
                </c:pt>
                <c:pt idx="9">
                  <c:v>0.99951696946035462</c:v>
                </c:pt>
              </c:numCache>
            </c:numRef>
          </c:yVal>
          <c:smooth val="1"/>
        </c:ser>
        <c:ser>
          <c:idx val="3"/>
          <c:order val="3"/>
          <c:tx>
            <c:strRef>
              <c:f>PMN!$E$26</c:f>
              <c:strCache>
                <c:ptCount val="1"/>
                <c:pt idx="0">
                  <c:v>loamy Boralf</c:v>
                </c:pt>
              </c:strCache>
            </c:strRef>
          </c:tx>
          <c:spPr>
            <a:ln w="12700">
              <a:solidFill>
                <a:srgbClr val="00FFFF"/>
              </a:solidFill>
              <a:prstDash val="solid"/>
            </a:ln>
          </c:spPr>
          <c:marker>
            <c:symbol val="x"/>
            <c:size val="5"/>
            <c:spPr>
              <a:noFill/>
              <a:ln>
                <a:solidFill>
                  <a:srgbClr val="00FFFF"/>
                </a:solidFill>
                <a:prstDash val="solid"/>
              </a:ln>
            </c:spPr>
          </c:marker>
          <c:xVal>
            <c:numRef>
              <c:f>PMN!$A$27:$A$36</c:f>
              <c:numCache>
                <c:formatCode>0.0</c:formatCode>
                <c:ptCount val="10"/>
                <c:pt idx="0">
                  <c:v>2.5</c:v>
                </c:pt>
                <c:pt idx="1">
                  <c:v>5</c:v>
                </c:pt>
                <c:pt idx="2">
                  <c:v>7.5</c:v>
                </c:pt>
                <c:pt idx="3" formatCode="0">
                  <c:v>10</c:v>
                </c:pt>
                <c:pt idx="4">
                  <c:v>12.5</c:v>
                </c:pt>
                <c:pt idx="5" formatCode="0">
                  <c:v>15</c:v>
                </c:pt>
                <c:pt idx="6">
                  <c:v>17.5</c:v>
                </c:pt>
                <c:pt idx="7" formatCode="0">
                  <c:v>20</c:v>
                </c:pt>
                <c:pt idx="8">
                  <c:v>22.5</c:v>
                </c:pt>
                <c:pt idx="9" formatCode="0">
                  <c:v>25</c:v>
                </c:pt>
              </c:numCache>
            </c:numRef>
          </c:xVal>
          <c:yVal>
            <c:numRef>
              <c:f>PMN!$E$27:$E$36</c:f>
              <c:numCache>
                <c:formatCode>0.00</c:formatCode>
                <c:ptCount val="10"/>
                <c:pt idx="0">
                  <c:v>4.5475592081424224E-2</c:v>
                </c:pt>
                <c:pt idx="1">
                  <c:v>0.26802129807885045</c:v>
                </c:pt>
                <c:pt idx="2">
                  <c:v>0.73781979269860865</c:v>
                </c:pt>
                <c:pt idx="3">
                  <c:v>0.95580828516185734</c:v>
                </c:pt>
                <c:pt idx="4">
                  <c:v>0.9940202126263229</c:v>
                </c:pt>
                <c:pt idx="5">
                  <c:v>0.99921788396966449</c:v>
                </c:pt>
                <c:pt idx="6">
                  <c:v>0.99989816730819947</c:v>
                </c:pt>
                <c:pt idx="7">
                  <c:v>0.99998674907611784</c:v>
                </c:pt>
                <c:pt idx="8">
                  <c:v>0.99999827586357182</c:v>
                </c:pt>
                <c:pt idx="9">
                  <c:v>0.9999997756672182</c:v>
                </c:pt>
              </c:numCache>
            </c:numRef>
          </c:yVal>
          <c:smooth val="1"/>
        </c:ser>
        <c:ser>
          <c:idx val="4"/>
          <c:order val="4"/>
          <c:tx>
            <c:strRef>
              <c:f>PMN!$F$26</c:f>
              <c:strCache>
                <c:ptCount val="1"/>
                <c:pt idx="0">
                  <c:v>hot wet Argid</c:v>
                </c:pt>
              </c:strCache>
            </c:strRef>
          </c:tx>
          <c:spPr>
            <a:ln w="12700">
              <a:solidFill>
                <a:srgbClr val="800080"/>
              </a:solidFill>
              <a:prstDash val="solid"/>
            </a:ln>
          </c:spPr>
          <c:marker>
            <c:symbol val="star"/>
            <c:size val="5"/>
            <c:spPr>
              <a:noFill/>
              <a:ln>
                <a:solidFill>
                  <a:srgbClr val="800080"/>
                </a:solidFill>
                <a:prstDash val="solid"/>
              </a:ln>
            </c:spPr>
          </c:marker>
          <c:xVal>
            <c:numRef>
              <c:f>PMN!$A$27:$A$36</c:f>
              <c:numCache>
                <c:formatCode>0.0</c:formatCode>
                <c:ptCount val="10"/>
                <c:pt idx="0">
                  <c:v>2.5</c:v>
                </c:pt>
                <c:pt idx="1">
                  <c:v>5</c:v>
                </c:pt>
                <c:pt idx="2">
                  <c:v>7.5</c:v>
                </c:pt>
                <c:pt idx="3" formatCode="0">
                  <c:v>10</c:v>
                </c:pt>
                <c:pt idx="4">
                  <c:v>12.5</c:v>
                </c:pt>
                <c:pt idx="5" formatCode="0">
                  <c:v>15</c:v>
                </c:pt>
                <c:pt idx="6">
                  <c:v>17.5</c:v>
                </c:pt>
                <c:pt idx="7" formatCode="0">
                  <c:v>20</c:v>
                </c:pt>
                <c:pt idx="8">
                  <c:v>22.5</c:v>
                </c:pt>
                <c:pt idx="9" formatCode="0">
                  <c:v>25</c:v>
                </c:pt>
              </c:numCache>
            </c:numRef>
          </c:xVal>
          <c:yVal>
            <c:numRef>
              <c:f>PMN!$F$27:$F$36</c:f>
              <c:numCache>
                <c:formatCode>0.00</c:formatCode>
                <c:ptCount val="10"/>
                <c:pt idx="0">
                  <c:v>5.3759285051156722E-2</c:v>
                </c:pt>
                <c:pt idx="1">
                  <c:v>0.3424103529153017</c:v>
                </c:pt>
                <c:pt idx="2">
                  <c:v>0.82676023260164955</c:v>
                </c:pt>
                <c:pt idx="3">
                  <c:v>0.97764829818396892</c:v>
                </c:pt>
                <c:pt idx="4">
                  <c:v>0.99751168206263763</c:v>
                </c:pt>
                <c:pt idx="5">
                  <c:v>0.9997278993212525</c:v>
                </c:pt>
                <c:pt idx="6">
                  <c:v>0.99997030421232169</c:v>
                </c:pt>
                <c:pt idx="7">
                  <c:v>0.99999675984137215</c:v>
                </c:pt>
                <c:pt idx="8">
                  <c:v>0.99999964646903461</c:v>
                </c:pt>
                <c:pt idx="9">
                  <c:v>0.99999996142663472</c:v>
                </c:pt>
              </c:numCache>
            </c:numRef>
          </c:yVal>
          <c:smooth val="1"/>
        </c:ser>
        <c:ser>
          <c:idx val="5"/>
          <c:order val="5"/>
          <c:tx>
            <c:strRef>
              <c:f>PMN!$G$26</c:f>
              <c:strCache>
                <c:ptCount val="1"/>
                <c:pt idx="0">
                  <c:v>cold dry Argid</c:v>
                </c:pt>
              </c:strCache>
            </c:strRef>
          </c:tx>
          <c:spPr>
            <a:ln w="12700">
              <a:solidFill>
                <a:srgbClr val="800000"/>
              </a:solidFill>
              <a:prstDash val="solid"/>
            </a:ln>
          </c:spPr>
          <c:marker>
            <c:symbol val="circle"/>
            <c:size val="5"/>
            <c:spPr>
              <a:solidFill>
                <a:srgbClr val="800000"/>
              </a:solidFill>
              <a:ln>
                <a:solidFill>
                  <a:srgbClr val="800000"/>
                </a:solidFill>
                <a:prstDash val="solid"/>
              </a:ln>
            </c:spPr>
          </c:marker>
          <c:xVal>
            <c:numRef>
              <c:f>PMN!$A$27:$A$36</c:f>
              <c:numCache>
                <c:formatCode>0.0</c:formatCode>
                <c:ptCount val="10"/>
                <c:pt idx="0">
                  <c:v>2.5</c:v>
                </c:pt>
                <c:pt idx="1">
                  <c:v>5</c:v>
                </c:pt>
                <c:pt idx="2">
                  <c:v>7.5</c:v>
                </c:pt>
                <c:pt idx="3" formatCode="0">
                  <c:v>10</c:v>
                </c:pt>
                <c:pt idx="4">
                  <c:v>12.5</c:v>
                </c:pt>
                <c:pt idx="5" formatCode="0">
                  <c:v>15</c:v>
                </c:pt>
                <c:pt idx="6">
                  <c:v>17.5</c:v>
                </c:pt>
                <c:pt idx="7" formatCode="0">
                  <c:v>20</c:v>
                </c:pt>
                <c:pt idx="8">
                  <c:v>22.5</c:v>
                </c:pt>
                <c:pt idx="9" formatCode="0">
                  <c:v>25</c:v>
                </c:pt>
              </c:numCache>
            </c:numRef>
          </c:xVal>
          <c:yVal>
            <c:numRef>
              <c:f>PMN!$G$27:$G$36</c:f>
              <c:numCache>
                <c:formatCode>0.00</c:formatCode>
                <c:ptCount val="10"/>
                <c:pt idx="0">
                  <c:v>4.608514645667016E-2</c:v>
                </c:pt>
                <c:pt idx="1">
                  <c:v>0.2735316718048621</c:v>
                </c:pt>
                <c:pt idx="2">
                  <c:v>0.74583652529402233</c:v>
                </c:pt>
                <c:pt idx="3">
                  <c:v>0.95810677184592019</c:v>
                </c:pt>
                <c:pt idx="4">
                  <c:v>0.99442094546757931</c:v>
                </c:pt>
                <c:pt idx="5">
                  <c:v>0.99928065331191984</c:v>
                </c:pt>
                <c:pt idx="6">
                  <c:v>0.99990764273086485</c:v>
                </c:pt>
                <c:pt idx="7">
                  <c:v>0.99998814868684061</c:v>
                </c:pt>
                <c:pt idx="8">
                  <c:v>0.9999984793425758</c:v>
                </c:pt>
                <c:pt idx="9">
                  <c:v>0.9999998048842228</c:v>
                </c:pt>
              </c:numCache>
            </c:numRef>
          </c:yVal>
          <c:smooth val="1"/>
        </c:ser>
        <c:dLbls>
          <c:showLegendKey val="0"/>
          <c:showVal val="0"/>
          <c:showCatName val="0"/>
          <c:showSerName val="0"/>
          <c:showPercent val="0"/>
          <c:showBubbleSize val="0"/>
        </c:dLbls>
        <c:axId val="406003480"/>
        <c:axId val="405999560"/>
      </c:scatterChart>
      <c:valAx>
        <c:axId val="406003480"/>
        <c:scaling>
          <c:orientation val="minMax"/>
          <c:max val="25"/>
        </c:scaling>
        <c:delete val="0"/>
        <c:axPos val="b"/>
        <c:title>
          <c:tx>
            <c:rich>
              <a:bodyPr/>
              <a:lstStyle/>
              <a:p>
                <a:pPr>
                  <a:defRPr sz="1200" b="1" i="0" u="none" strike="noStrike" baseline="0">
                    <a:solidFill>
                      <a:srgbClr val="000000"/>
                    </a:solidFill>
                    <a:latin typeface="Arial"/>
                    <a:ea typeface="Arial"/>
                    <a:cs typeface="Arial"/>
                  </a:defRPr>
                </a:pPr>
                <a:r>
                  <a:rPr lang="en-US"/>
                  <a:t>PMN (g/kg)</a:t>
                </a:r>
              </a:p>
            </c:rich>
          </c:tx>
          <c:layout>
            <c:manualLayout>
              <c:xMode val="edge"/>
              <c:yMode val="edge"/>
              <c:x val="0.38900192163479597"/>
              <c:y val="0.90422657434642006"/>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05999560"/>
        <c:crosses val="autoZero"/>
        <c:crossBetween val="midCat"/>
      </c:valAx>
      <c:valAx>
        <c:axId val="405999560"/>
        <c:scaling>
          <c:orientation val="minMax"/>
        </c:scaling>
        <c:delete val="0"/>
        <c:axPos val="l"/>
        <c:majorGridlines>
          <c:spPr>
            <a:ln w="3175">
              <a:solidFill>
                <a:srgbClr val="FFFFFF"/>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score</a:t>
                </a:r>
              </a:p>
            </c:rich>
          </c:tx>
          <c:layout>
            <c:manualLayout>
              <c:xMode val="edge"/>
              <c:yMode val="edge"/>
              <c:x val="1.2219956880389937E-2"/>
              <c:y val="0.36901456053492188"/>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06003480"/>
        <c:crosses val="autoZero"/>
        <c:crossBetween val="midCat"/>
      </c:valAx>
      <c:spPr>
        <a:solidFill>
          <a:srgbClr val="FFFFFF"/>
        </a:solidFill>
        <a:ln w="25400">
          <a:noFill/>
        </a:ln>
      </c:spPr>
    </c:plotArea>
    <c:legend>
      <c:legendPos val="r"/>
      <c:layout>
        <c:manualLayout>
          <c:xMode val="edge"/>
          <c:yMode val="edge"/>
          <c:x val="0.68393044619422572"/>
          <c:y val="0.33642782761203605"/>
          <c:w val="0.28214356017997777"/>
          <c:h val="0.38515172552386895"/>
        </c:manualLayout>
      </c:layout>
      <c:overlay val="0"/>
      <c:spPr>
        <a:solidFill>
          <a:srgbClr val="FFFFFF"/>
        </a:solidFill>
        <a:ln w="3175">
          <a:solidFill>
            <a:srgbClr val="000000"/>
          </a:solidFill>
          <a:prstDash val="solid"/>
        </a:ln>
      </c:spPr>
      <c:txPr>
        <a:bodyPr/>
        <a:lstStyle/>
        <a:p>
          <a:pPr>
            <a:defRPr sz="8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444182262633589"/>
          <c:y val="3.8983147634271492E-2"/>
          <c:w val="0.8607446761273897"/>
          <c:h val="0.69830681849216725"/>
        </c:manualLayout>
      </c:layout>
      <c:scatterChart>
        <c:scatterStyle val="smoothMarker"/>
        <c:varyColors val="0"/>
        <c:ser>
          <c:idx val="0"/>
          <c:order val="0"/>
          <c:tx>
            <c:strRef>
              <c:f>soilP!$B$89</c:f>
              <c:strCache>
                <c:ptCount val="1"/>
                <c:pt idx="0">
                  <c:v>Tomato, Calcareous</c:v>
                </c:pt>
              </c:strCache>
            </c:strRef>
          </c:tx>
          <c:spPr>
            <a:ln w="25400">
              <a:solidFill>
                <a:srgbClr val="000080"/>
              </a:solidFill>
              <a:prstDash val="solid"/>
            </a:ln>
          </c:spPr>
          <c:marker>
            <c:symbol val="diamond"/>
            <c:size val="5"/>
            <c:spPr>
              <a:solidFill>
                <a:srgbClr val="000080"/>
              </a:solidFill>
              <a:ln>
                <a:solidFill>
                  <a:srgbClr val="000080"/>
                </a:solidFill>
                <a:prstDash val="solid"/>
              </a:ln>
            </c:spPr>
          </c:marker>
          <c:dPt>
            <c:idx val="11"/>
            <c:marker>
              <c:spPr>
                <a:solidFill>
                  <a:srgbClr val="0000FF"/>
                </a:solidFill>
                <a:ln>
                  <a:solidFill>
                    <a:srgbClr val="0000FF"/>
                  </a:solidFill>
                  <a:prstDash val="solid"/>
                </a:ln>
              </c:spPr>
            </c:marker>
            <c:bubble3D val="0"/>
            <c:spPr>
              <a:ln w="25400">
                <a:solidFill>
                  <a:srgbClr val="0000FF"/>
                </a:solidFill>
                <a:prstDash val="solid"/>
              </a:ln>
            </c:spPr>
          </c:dPt>
          <c:dPt>
            <c:idx val="12"/>
            <c:bubble3D val="0"/>
            <c:spPr>
              <a:ln w="31750">
                <a:solidFill>
                  <a:srgbClr val="000080"/>
                </a:solidFill>
                <a:prstDash val="solid"/>
              </a:ln>
            </c:spPr>
          </c:dPt>
          <c:xVal>
            <c:numRef>
              <c:f>soilP!$A$90:$A$102</c:f>
              <c:numCache>
                <c:formatCode>General</c:formatCode>
                <c:ptCount val="13"/>
                <c:pt idx="0">
                  <c:v>5</c:v>
                </c:pt>
                <c:pt idx="1">
                  <c:v>10</c:v>
                </c:pt>
                <c:pt idx="2">
                  <c:v>15</c:v>
                </c:pt>
                <c:pt idx="3">
                  <c:v>20</c:v>
                </c:pt>
                <c:pt idx="4">
                  <c:v>30</c:v>
                </c:pt>
                <c:pt idx="5">
                  <c:v>50</c:v>
                </c:pt>
                <c:pt idx="6">
                  <c:v>60</c:v>
                </c:pt>
                <c:pt idx="7">
                  <c:v>90</c:v>
                </c:pt>
                <c:pt idx="8">
                  <c:v>120</c:v>
                </c:pt>
                <c:pt idx="9">
                  <c:v>150</c:v>
                </c:pt>
                <c:pt idx="10">
                  <c:v>180</c:v>
                </c:pt>
                <c:pt idx="11">
                  <c:v>210</c:v>
                </c:pt>
                <c:pt idx="12">
                  <c:v>300</c:v>
                </c:pt>
              </c:numCache>
            </c:numRef>
          </c:xVal>
          <c:yVal>
            <c:numRef>
              <c:f>soilP!$B$90:$B$102</c:f>
              <c:numCache>
                <c:formatCode>0.00</c:formatCode>
                <c:ptCount val="13"/>
                <c:pt idx="0">
                  <c:v>0.18768445578067314</c:v>
                </c:pt>
                <c:pt idx="1">
                  <c:v>0.65833167143619264</c:v>
                </c:pt>
                <c:pt idx="2">
                  <c:v>0.86950489144282905</c:v>
                </c:pt>
                <c:pt idx="3">
                  <c:v>0.94141440287332345</c:v>
                </c:pt>
                <c:pt idx="4">
                  <c:v>0.98232233234001509</c:v>
                </c:pt>
                <c:pt idx="5">
                  <c:v>1</c:v>
                </c:pt>
                <c:pt idx="6">
                  <c:v>1</c:v>
                </c:pt>
                <c:pt idx="7">
                  <c:v>1</c:v>
                </c:pt>
                <c:pt idx="8">
                  <c:v>1</c:v>
                </c:pt>
                <c:pt idx="9">
                  <c:v>1</c:v>
                </c:pt>
                <c:pt idx="10">
                  <c:v>0.85898451418883459</c:v>
                </c:pt>
                <c:pt idx="11">
                  <c:v>0.64659490082600479</c:v>
                </c:pt>
                <c:pt idx="12">
                  <c:v>-0.29357632840878267</c:v>
                </c:pt>
              </c:numCache>
            </c:numRef>
          </c:yVal>
          <c:smooth val="1"/>
        </c:ser>
        <c:ser>
          <c:idx val="1"/>
          <c:order val="1"/>
          <c:tx>
            <c:strRef>
              <c:f>soilP!$C$89</c:f>
              <c:strCache>
                <c:ptCount val="1"/>
                <c:pt idx="0">
                  <c:v>Soybean, Mollisol</c:v>
                </c:pt>
              </c:strCache>
            </c:strRef>
          </c:tx>
          <c:spPr>
            <a:ln w="31750">
              <a:solidFill>
                <a:srgbClr val="0000FF"/>
              </a:solidFill>
              <a:prstDash val="sysDash"/>
            </a:ln>
          </c:spPr>
          <c:marker>
            <c:symbol val="diamond"/>
            <c:size val="5"/>
            <c:spPr>
              <a:noFill/>
              <a:ln>
                <a:solidFill>
                  <a:srgbClr val="0000FF"/>
                </a:solidFill>
                <a:prstDash val="solid"/>
              </a:ln>
            </c:spPr>
          </c:marker>
          <c:xVal>
            <c:numRef>
              <c:f>soilP!$A$90:$A$102</c:f>
              <c:numCache>
                <c:formatCode>General</c:formatCode>
                <c:ptCount val="13"/>
                <c:pt idx="0">
                  <c:v>5</c:v>
                </c:pt>
                <c:pt idx="1">
                  <c:v>10</c:v>
                </c:pt>
                <c:pt idx="2">
                  <c:v>15</c:v>
                </c:pt>
                <c:pt idx="3">
                  <c:v>20</c:v>
                </c:pt>
                <c:pt idx="4">
                  <c:v>30</c:v>
                </c:pt>
                <c:pt idx="5">
                  <c:v>50</c:v>
                </c:pt>
                <c:pt idx="6">
                  <c:v>60</c:v>
                </c:pt>
                <c:pt idx="7">
                  <c:v>90</c:v>
                </c:pt>
                <c:pt idx="8">
                  <c:v>120</c:v>
                </c:pt>
                <c:pt idx="9">
                  <c:v>150</c:v>
                </c:pt>
                <c:pt idx="10">
                  <c:v>180</c:v>
                </c:pt>
                <c:pt idx="11">
                  <c:v>210</c:v>
                </c:pt>
                <c:pt idx="12">
                  <c:v>300</c:v>
                </c:pt>
              </c:numCache>
            </c:numRef>
          </c:xVal>
          <c:yVal>
            <c:numRef>
              <c:f>soilP!$C$90:$C$102</c:f>
              <c:numCache>
                <c:formatCode>0.00</c:formatCode>
                <c:ptCount val="13"/>
                <c:pt idx="0">
                  <c:v>0.44371841214357388</c:v>
                </c:pt>
                <c:pt idx="1">
                  <c:v>0.86931727255086955</c:v>
                </c:pt>
                <c:pt idx="2">
                  <c:v>0.95833987059700765</c:v>
                </c:pt>
                <c:pt idx="3">
                  <c:v>0.98229361323896403</c:v>
                </c:pt>
                <c:pt idx="4">
                  <c:v>1</c:v>
                </c:pt>
                <c:pt idx="5">
                  <c:v>1</c:v>
                </c:pt>
                <c:pt idx="6">
                  <c:v>1</c:v>
                </c:pt>
                <c:pt idx="7">
                  <c:v>1</c:v>
                </c:pt>
                <c:pt idx="8">
                  <c:v>1</c:v>
                </c:pt>
                <c:pt idx="9">
                  <c:v>0.98593298527208451</c:v>
                </c:pt>
                <c:pt idx="10">
                  <c:v>0.91803624640568571</c:v>
                </c:pt>
                <c:pt idx="11">
                  <c:v>0.7627829528249831</c:v>
                </c:pt>
                <c:pt idx="12">
                  <c:v>-6.4044695170381027E-2</c:v>
                </c:pt>
              </c:numCache>
            </c:numRef>
          </c:yVal>
          <c:smooth val="1"/>
        </c:ser>
        <c:ser>
          <c:idx val="2"/>
          <c:order val="2"/>
          <c:tx>
            <c:strRef>
              <c:f>soilP!$D$89</c:f>
              <c:strCache>
                <c:ptCount val="1"/>
                <c:pt idx="0">
                  <c:v>Soybean, Oxisol</c:v>
                </c:pt>
              </c:strCache>
            </c:strRef>
          </c:tx>
          <c:spPr>
            <a:ln w="31750">
              <a:solidFill>
                <a:srgbClr val="993366"/>
              </a:solidFill>
              <a:prstDash val="solid"/>
            </a:ln>
          </c:spPr>
          <c:marker>
            <c:symbol val="triangle"/>
            <c:size val="5"/>
            <c:spPr>
              <a:solidFill>
                <a:srgbClr val="993366"/>
              </a:solidFill>
              <a:ln>
                <a:solidFill>
                  <a:srgbClr val="993366"/>
                </a:solidFill>
                <a:prstDash val="solid"/>
              </a:ln>
            </c:spPr>
          </c:marker>
          <c:xVal>
            <c:numRef>
              <c:f>soilP!$A$90:$A$102</c:f>
              <c:numCache>
                <c:formatCode>General</c:formatCode>
                <c:ptCount val="13"/>
                <c:pt idx="0">
                  <c:v>5</c:v>
                </c:pt>
                <c:pt idx="1">
                  <c:v>10</c:v>
                </c:pt>
                <c:pt idx="2">
                  <c:v>15</c:v>
                </c:pt>
                <c:pt idx="3">
                  <c:v>20</c:v>
                </c:pt>
                <c:pt idx="4">
                  <c:v>30</c:v>
                </c:pt>
                <c:pt idx="5">
                  <c:v>50</c:v>
                </c:pt>
                <c:pt idx="6">
                  <c:v>60</c:v>
                </c:pt>
                <c:pt idx="7">
                  <c:v>90</c:v>
                </c:pt>
                <c:pt idx="8">
                  <c:v>120</c:v>
                </c:pt>
                <c:pt idx="9">
                  <c:v>150</c:v>
                </c:pt>
                <c:pt idx="10">
                  <c:v>180</c:v>
                </c:pt>
                <c:pt idx="11">
                  <c:v>210</c:v>
                </c:pt>
                <c:pt idx="12">
                  <c:v>300</c:v>
                </c:pt>
              </c:numCache>
            </c:numRef>
          </c:xVal>
          <c:yVal>
            <c:numRef>
              <c:f>soilP!$D$90:$D$102</c:f>
              <c:numCache>
                <c:formatCode>0.00</c:formatCode>
                <c:ptCount val="13"/>
                <c:pt idx="0">
                  <c:v>0.44643630951553026</c:v>
                </c:pt>
                <c:pt idx="1">
                  <c:v>0.87056236420092592</c:v>
                </c:pt>
                <c:pt idx="2">
                  <c:v>0.95877701195241793</c:v>
                </c:pt>
                <c:pt idx="3">
                  <c:v>0.98248400107674205</c:v>
                </c:pt>
                <c:pt idx="4">
                  <c:v>1</c:v>
                </c:pt>
                <c:pt idx="5">
                  <c:v>1</c:v>
                </c:pt>
                <c:pt idx="6">
                  <c:v>1</c:v>
                </c:pt>
                <c:pt idx="7">
                  <c:v>1</c:v>
                </c:pt>
                <c:pt idx="8">
                  <c:v>1</c:v>
                </c:pt>
                <c:pt idx="9">
                  <c:v>0.9840886502432159</c:v>
                </c:pt>
                <c:pt idx="10">
                  <c:v>0.91071507365033366</c:v>
                </c:pt>
                <c:pt idx="11">
                  <c:v>0.74739356724639827</c:v>
                </c:pt>
                <c:pt idx="12">
                  <c:v>-9.7327191169360949E-2</c:v>
                </c:pt>
              </c:numCache>
            </c:numRef>
          </c:yVal>
          <c:smooth val="1"/>
        </c:ser>
        <c:ser>
          <c:idx val="3"/>
          <c:order val="3"/>
          <c:tx>
            <c:strRef>
              <c:f>soilP!$E$89</c:f>
              <c:strCache>
                <c:ptCount val="1"/>
                <c:pt idx="0">
                  <c:v>Corn, Mollisol</c:v>
                </c:pt>
              </c:strCache>
            </c:strRef>
          </c:tx>
          <c:spPr>
            <a:ln w="31750">
              <a:solidFill>
                <a:srgbClr val="993366"/>
              </a:solidFill>
              <a:prstDash val="lgDash"/>
            </a:ln>
          </c:spPr>
          <c:marker>
            <c:symbol val="triangle"/>
            <c:size val="5"/>
            <c:spPr>
              <a:noFill/>
              <a:ln>
                <a:solidFill>
                  <a:srgbClr val="993366"/>
                </a:solidFill>
                <a:prstDash val="solid"/>
              </a:ln>
            </c:spPr>
          </c:marker>
          <c:xVal>
            <c:numRef>
              <c:f>soilP!$A$90:$A$102</c:f>
              <c:numCache>
                <c:formatCode>General</c:formatCode>
                <c:ptCount val="13"/>
                <c:pt idx="0">
                  <c:v>5</c:v>
                </c:pt>
                <c:pt idx="1">
                  <c:v>10</c:v>
                </c:pt>
                <c:pt idx="2">
                  <c:v>15</c:v>
                </c:pt>
                <c:pt idx="3">
                  <c:v>20</c:v>
                </c:pt>
                <c:pt idx="4">
                  <c:v>30</c:v>
                </c:pt>
                <c:pt idx="5">
                  <c:v>50</c:v>
                </c:pt>
                <c:pt idx="6">
                  <c:v>60</c:v>
                </c:pt>
                <c:pt idx="7">
                  <c:v>90</c:v>
                </c:pt>
                <c:pt idx="8">
                  <c:v>120</c:v>
                </c:pt>
                <c:pt idx="9">
                  <c:v>150</c:v>
                </c:pt>
                <c:pt idx="10">
                  <c:v>180</c:v>
                </c:pt>
                <c:pt idx="11">
                  <c:v>210</c:v>
                </c:pt>
                <c:pt idx="12">
                  <c:v>300</c:v>
                </c:pt>
              </c:numCache>
            </c:numRef>
          </c:xVal>
          <c:yVal>
            <c:numRef>
              <c:f>soilP!$E$90:$E$102</c:f>
              <c:numCache>
                <c:formatCode>0.00</c:formatCode>
                <c:ptCount val="13"/>
                <c:pt idx="0">
                  <c:v>0.44371841214357388</c:v>
                </c:pt>
                <c:pt idx="1">
                  <c:v>0.86931727255086955</c:v>
                </c:pt>
                <c:pt idx="2">
                  <c:v>0.95833987059700765</c:v>
                </c:pt>
                <c:pt idx="3">
                  <c:v>0.98229361323896403</c:v>
                </c:pt>
                <c:pt idx="4">
                  <c:v>1</c:v>
                </c:pt>
                <c:pt idx="5">
                  <c:v>1</c:v>
                </c:pt>
                <c:pt idx="6">
                  <c:v>1</c:v>
                </c:pt>
                <c:pt idx="7">
                  <c:v>0.99114512213623684</c:v>
                </c:pt>
                <c:pt idx="8">
                  <c:v>0.86477073941370697</c:v>
                </c:pt>
                <c:pt idx="9">
                  <c:v>0.52242483332744949</c:v>
                </c:pt>
                <c:pt idx="10">
                  <c:v>5.2225479514469653E-2</c:v>
                </c:pt>
                <c:pt idx="11">
                  <c:v>-0.4328034108811234</c:v>
                </c:pt>
                <c:pt idx="12">
                  <c:v>-1.5684423328736701</c:v>
                </c:pt>
              </c:numCache>
            </c:numRef>
          </c:yVal>
          <c:smooth val="1"/>
        </c:ser>
        <c:ser>
          <c:idx val="4"/>
          <c:order val="4"/>
          <c:tx>
            <c:strRef>
              <c:f>soilP!$F$89</c:f>
              <c:strCache>
                <c:ptCount val="1"/>
                <c:pt idx="0">
                  <c:v>Corn, Oxisol, Low slope</c:v>
                </c:pt>
              </c:strCache>
            </c:strRef>
          </c:tx>
          <c:spPr>
            <a:ln w="31750">
              <a:solidFill>
                <a:srgbClr val="339966"/>
              </a:solidFill>
              <a:prstDash val="solid"/>
            </a:ln>
          </c:spPr>
          <c:marker>
            <c:symbol val="diamond"/>
            <c:size val="5"/>
            <c:spPr>
              <a:solidFill>
                <a:srgbClr val="339966"/>
              </a:solidFill>
              <a:ln>
                <a:solidFill>
                  <a:srgbClr val="339966"/>
                </a:solidFill>
                <a:prstDash val="solid"/>
              </a:ln>
            </c:spPr>
          </c:marker>
          <c:xVal>
            <c:numRef>
              <c:f>soilP!$A$90:$A$102</c:f>
              <c:numCache>
                <c:formatCode>General</c:formatCode>
                <c:ptCount val="13"/>
                <c:pt idx="0">
                  <c:v>5</c:v>
                </c:pt>
                <c:pt idx="1">
                  <c:v>10</c:v>
                </c:pt>
                <c:pt idx="2">
                  <c:v>15</c:v>
                </c:pt>
                <c:pt idx="3">
                  <c:v>20</c:v>
                </c:pt>
                <c:pt idx="4">
                  <c:v>30</c:v>
                </c:pt>
                <c:pt idx="5">
                  <c:v>50</c:v>
                </c:pt>
                <c:pt idx="6">
                  <c:v>60</c:v>
                </c:pt>
                <c:pt idx="7">
                  <c:v>90</c:v>
                </c:pt>
                <c:pt idx="8">
                  <c:v>120</c:v>
                </c:pt>
                <c:pt idx="9">
                  <c:v>150</c:v>
                </c:pt>
                <c:pt idx="10">
                  <c:v>180</c:v>
                </c:pt>
                <c:pt idx="11">
                  <c:v>210</c:v>
                </c:pt>
                <c:pt idx="12">
                  <c:v>300</c:v>
                </c:pt>
              </c:numCache>
            </c:numRef>
          </c:xVal>
          <c:yVal>
            <c:numRef>
              <c:f>soilP!$F$90:$F$102</c:f>
              <c:numCache>
                <c:formatCode>0.00</c:formatCode>
                <c:ptCount val="13"/>
                <c:pt idx="0">
                  <c:v>0.44643630951553026</c:v>
                </c:pt>
                <c:pt idx="1">
                  <c:v>0.87056236420092592</c:v>
                </c:pt>
                <c:pt idx="2">
                  <c:v>0.95877701195241793</c:v>
                </c:pt>
                <c:pt idx="3">
                  <c:v>0.98248400107674205</c:v>
                </c:pt>
                <c:pt idx="4">
                  <c:v>1</c:v>
                </c:pt>
                <c:pt idx="5">
                  <c:v>1</c:v>
                </c:pt>
                <c:pt idx="6">
                  <c:v>1</c:v>
                </c:pt>
                <c:pt idx="7">
                  <c:v>0.86198143138122674</c:v>
                </c:pt>
                <c:pt idx="8">
                  <c:v>0.36613710585529746</c:v>
                </c:pt>
                <c:pt idx="9">
                  <c:v>-0.28361125275787336</c:v>
                </c:pt>
                <c:pt idx="10">
                  <c:v>-0.88318837719154009</c:v>
                </c:pt>
                <c:pt idx="11">
                  <c:v>-1.3728159081937186</c:v>
                </c:pt>
                <c:pt idx="12">
                  <c:v>-2.2886508239900176</c:v>
                </c:pt>
              </c:numCache>
            </c:numRef>
          </c:yVal>
          <c:smooth val="1"/>
        </c:ser>
        <c:ser>
          <c:idx val="5"/>
          <c:order val="5"/>
          <c:tx>
            <c:strRef>
              <c:f>soilP!$G$89</c:f>
              <c:strCache>
                <c:ptCount val="1"/>
                <c:pt idx="0">
                  <c:v>Corn, Oxisol, High Slope</c:v>
                </c:pt>
              </c:strCache>
            </c:strRef>
          </c:tx>
          <c:spPr>
            <a:ln w="31750">
              <a:solidFill>
                <a:srgbClr val="339966"/>
              </a:solidFill>
              <a:prstDash val="lgDashDot"/>
            </a:ln>
          </c:spPr>
          <c:marker>
            <c:symbol val="diamond"/>
            <c:size val="5"/>
            <c:spPr>
              <a:noFill/>
              <a:ln>
                <a:solidFill>
                  <a:srgbClr val="339966"/>
                </a:solidFill>
                <a:prstDash val="solid"/>
              </a:ln>
            </c:spPr>
          </c:marker>
          <c:xVal>
            <c:numRef>
              <c:f>soilP!$A$90:$A$102</c:f>
              <c:numCache>
                <c:formatCode>General</c:formatCode>
                <c:ptCount val="13"/>
                <c:pt idx="0">
                  <c:v>5</c:v>
                </c:pt>
                <c:pt idx="1">
                  <c:v>10</c:v>
                </c:pt>
                <c:pt idx="2">
                  <c:v>15</c:v>
                </c:pt>
                <c:pt idx="3">
                  <c:v>20</c:v>
                </c:pt>
                <c:pt idx="4">
                  <c:v>30</c:v>
                </c:pt>
                <c:pt idx="5">
                  <c:v>50</c:v>
                </c:pt>
                <c:pt idx="6">
                  <c:v>60</c:v>
                </c:pt>
                <c:pt idx="7">
                  <c:v>90</c:v>
                </c:pt>
                <c:pt idx="8">
                  <c:v>120</c:v>
                </c:pt>
                <c:pt idx="9">
                  <c:v>150</c:v>
                </c:pt>
                <c:pt idx="10">
                  <c:v>180</c:v>
                </c:pt>
                <c:pt idx="11">
                  <c:v>210</c:v>
                </c:pt>
                <c:pt idx="12">
                  <c:v>300</c:v>
                </c:pt>
              </c:numCache>
            </c:numRef>
          </c:xVal>
          <c:yVal>
            <c:numRef>
              <c:f>soilP!$G$90:$G$102</c:f>
              <c:numCache>
                <c:formatCode>0.00</c:formatCode>
                <c:ptCount val="13"/>
                <c:pt idx="0">
                  <c:v>0.44693405396527125</c:v>
                </c:pt>
                <c:pt idx="1">
                  <c:v>0.87078912779319029</c:v>
                </c:pt>
                <c:pt idx="2">
                  <c:v>0.95885653504901347</c:v>
                </c:pt>
                <c:pt idx="3">
                  <c:v>0.9825186249767226</c:v>
                </c:pt>
                <c:pt idx="4">
                  <c:v>1</c:v>
                </c:pt>
                <c:pt idx="5">
                  <c:v>1</c:v>
                </c:pt>
                <c:pt idx="6">
                  <c:v>1</c:v>
                </c:pt>
                <c:pt idx="7">
                  <c:v>1</c:v>
                </c:pt>
                <c:pt idx="8">
                  <c:v>1</c:v>
                </c:pt>
                <c:pt idx="9">
                  <c:v>1</c:v>
                </c:pt>
                <c:pt idx="10">
                  <c:v>0.96191829777060323</c:v>
                </c:pt>
                <c:pt idx="11">
                  <c:v>0.86492895088643595</c:v>
                </c:pt>
                <c:pt idx="12">
                  <c:v>0.19255324067164126</c:v>
                </c:pt>
              </c:numCache>
            </c:numRef>
          </c:yVal>
          <c:smooth val="1"/>
        </c:ser>
        <c:dLbls>
          <c:showLegendKey val="0"/>
          <c:showVal val="0"/>
          <c:showCatName val="0"/>
          <c:showSerName val="0"/>
          <c:showPercent val="0"/>
          <c:showBubbleSize val="0"/>
        </c:dLbls>
        <c:axId val="406002304"/>
        <c:axId val="405999952"/>
      </c:scatterChart>
      <c:valAx>
        <c:axId val="406002304"/>
        <c:scaling>
          <c:orientation val="minMax"/>
          <c:max val="300"/>
        </c:scaling>
        <c:delete val="0"/>
        <c:axPos val="b"/>
        <c:title>
          <c:tx>
            <c:rich>
              <a:bodyPr/>
              <a:lstStyle/>
              <a:p>
                <a:pPr>
                  <a:defRPr sz="1200" b="1" i="0" u="none" strike="noStrike" baseline="0">
                    <a:solidFill>
                      <a:srgbClr val="000000"/>
                    </a:solidFill>
                    <a:latin typeface="Arial"/>
                    <a:ea typeface="Arial"/>
                    <a:cs typeface="Arial"/>
                  </a:defRPr>
                </a:pPr>
                <a:r>
                  <a:rPr lang="en-US"/>
                  <a:t>Soil P (mg/kg)</a:t>
                </a:r>
              </a:p>
            </c:rich>
          </c:tx>
          <c:layout>
            <c:manualLayout>
              <c:xMode val="edge"/>
              <c:yMode val="edge"/>
              <c:x val="0.4517247844019498"/>
              <c:y val="0.80138418079095941"/>
            </c:manualLayout>
          </c:layout>
          <c:overlay val="0"/>
          <c:spPr>
            <a:noFill/>
            <a:ln w="25400">
              <a:noFill/>
            </a:ln>
          </c:spPr>
        </c:title>
        <c:numFmt formatCode="General" sourceLinked="1"/>
        <c:majorTickMark val="out"/>
        <c:minorTickMark val="none"/>
        <c:tickLblPos val="nextTo"/>
        <c:spPr>
          <a:ln w="25400">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05999952"/>
        <c:crosses val="autoZero"/>
        <c:crossBetween val="midCat"/>
        <c:majorUnit val="50"/>
      </c:valAx>
      <c:valAx>
        <c:axId val="405999952"/>
        <c:scaling>
          <c:orientation val="minMax"/>
          <c:max val="1"/>
          <c:min val="0"/>
        </c:scaling>
        <c:delete val="0"/>
        <c:axPos val="l"/>
        <c:majorGridlines>
          <c:spPr>
            <a:ln w="3175">
              <a:solidFill>
                <a:srgbClr val="FFFFFF"/>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Score</a:t>
                </a:r>
              </a:p>
            </c:rich>
          </c:tx>
          <c:layout>
            <c:manualLayout>
              <c:xMode val="edge"/>
              <c:yMode val="edge"/>
              <c:x val="6.8120161450406979E-3"/>
              <c:y val="0.32929022643356021"/>
            </c:manualLayout>
          </c:layout>
          <c:overlay val="0"/>
          <c:spPr>
            <a:noFill/>
            <a:ln w="25400">
              <a:noFill/>
            </a:ln>
          </c:spPr>
        </c:title>
        <c:numFmt formatCode="0.0" sourceLinked="0"/>
        <c:majorTickMark val="in"/>
        <c:minorTickMark val="none"/>
        <c:tickLblPos val="nextTo"/>
        <c:spPr>
          <a:ln w="2222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06002304"/>
        <c:crosses val="autoZero"/>
        <c:crossBetween val="midCat"/>
        <c:majorUnit val="0.2"/>
      </c:valAx>
      <c:spPr>
        <a:solidFill>
          <a:srgbClr val="FFFFFF"/>
        </a:solidFill>
        <a:ln w="25400">
          <a:solidFill>
            <a:schemeClr val="tx1">
              <a:lumMod val="95000"/>
              <a:lumOff val="5000"/>
            </a:schemeClr>
          </a:solidFill>
        </a:ln>
      </c:spPr>
    </c:plotArea>
    <c:legend>
      <c:legendPos val="r"/>
      <c:layout>
        <c:manualLayout>
          <c:xMode val="edge"/>
          <c:yMode val="edge"/>
          <c:x val="0.67106874245761305"/>
          <c:y val="0.34406868632946352"/>
          <c:w val="0.31572644805953881"/>
          <c:h val="0.30678032830641938"/>
        </c:manualLayout>
      </c:layout>
      <c:overlay val="0"/>
      <c:spPr>
        <a:solidFill>
          <a:srgbClr val="FFFFFF"/>
        </a:solidFill>
        <a:ln w="3175">
          <a:solidFill>
            <a:srgbClr val="000000"/>
          </a:solidFill>
          <a:prstDash val="solid"/>
        </a:ln>
      </c:spPr>
      <c:txPr>
        <a:bodyPr/>
        <a:lstStyle/>
        <a:p>
          <a:pPr>
            <a:defRPr sz="10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5875">
      <a:solidFill>
        <a:schemeClr val="bg2">
          <a:lumMod val="10000"/>
        </a:schemeClr>
      </a:solidFill>
    </a:ln>
  </c:spPr>
  <c:txPr>
    <a:bodyPr/>
    <a:lstStyle/>
    <a:p>
      <a:pPr>
        <a:defRPr sz="1500" b="0" i="0" u="none" strike="noStrike" baseline="0">
          <a:solidFill>
            <a:srgbClr val="000000"/>
          </a:solidFill>
          <a:latin typeface="Arial"/>
          <a:ea typeface="Arial"/>
          <a:cs typeface="Arial"/>
        </a:defRPr>
      </a:pPr>
      <a:endParaRPr lang="en-US"/>
    </a:p>
  </c:txPr>
  <c:printSettings>
    <c:headerFooter/>
    <c:pageMargins b="0.75000000000000056" l="0.70000000000000051" r="0.70000000000000051" t="0.75000000000000056" header="0.30000000000000027" footer="0.30000000000000027"/>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985800806705341"/>
          <c:y val="7.0552385003574108E-2"/>
          <c:w val="0.61811763119260599"/>
          <c:h val="0.73006381003698462"/>
        </c:manualLayout>
      </c:layout>
      <c:scatterChart>
        <c:scatterStyle val="smoothMarker"/>
        <c:varyColors val="0"/>
        <c:ser>
          <c:idx val="0"/>
          <c:order val="0"/>
          <c:tx>
            <c:strRef>
              <c:f>SAR!$B$16</c:f>
              <c:strCache>
                <c:ptCount val="1"/>
                <c:pt idx="0">
                  <c:v>EC&lt;0.2</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xVal>
            <c:numRef>
              <c:f>SAR!$A$17:$A$26</c:f>
              <c:numCache>
                <c:formatCode>General</c:formatCode>
                <c:ptCount val="10"/>
                <c:pt idx="0">
                  <c:v>0.5</c:v>
                </c:pt>
                <c:pt idx="1">
                  <c:v>1</c:v>
                </c:pt>
                <c:pt idx="2">
                  <c:v>2</c:v>
                </c:pt>
                <c:pt idx="3">
                  <c:v>3</c:v>
                </c:pt>
                <c:pt idx="4">
                  <c:v>4</c:v>
                </c:pt>
                <c:pt idx="5">
                  <c:v>5</c:v>
                </c:pt>
                <c:pt idx="6">
                  <c:v>6</c:v>
                </c:pt>
                <c:pt idx="7">
                  <c:v>7</c:v>
                </c:pt>
                <c:pt idx="8">
                  <c:v>8</c:v>
                </c:pt>
                <c:pt idx="9">
                  <c:v>9</c:v>
                </c:pt>
              </c:numCache>
            </c:numRef>
          </c:xVal>
          <c:yVal>
            <c:numRef>
              <c:f>SAR!$B$17:$B$26</c:f>
              <c:numCache>
                <c:formatCode>0.00</c:formatCode>
                <c:ptCount val="10"/>
                <c:pt idx="0">
                  <c:v>0.24086237757123866</c:v>
                </c:pt>
                <c:pt idx="1">
                  <c:v>0.20622808826562178</c:v>
                </c:pt>
                <c:pt idx="2">
                  <c:v>9.4128980836169218E-2</c:v>
                </c:pt>
                <c:pt idx="3">
                  <c:v>3.7486849318021015E-2</c:v>
                </c:pt>
                <c:pt idx="4">
                  <c:v>1.7108450551864059E-2</c:v>
                </c:pt>
                <c:pt idx="5">
                  <c:v>8.9696142140865409E-3</c:v>
                </c:pt>
                <c:pt idx="6">
                  <c:v>5.2247226612742986E-3</c:v>
                </c:pt>
                <c:pt idx="7">
                  <c:v>3.2911030195781226E-3</c:v>
                </c:pt>
                <c:pt idx="8">
                  <c:v>2.1999346414896415E-3</c:v>
                </c:pt>
                <c:pt idx="9">
                  <c:v>1.5401593662180092E-3</c:v>
                </c:pt>
              </c:numCache>
            </c:numRef>
          </c:yVal>
          <c:smooth val="1"/>
        </c:ser>
        <c:ser>
          <c:idx val="1"/>
          <c:order val="1"/>
          <c:tx>
            <c:strRef>
              <c:f>SAR!$C$16</c:f>
              <c:strCache>
                <c:ptCount val="1"/>
                <c:pt idx="0">
                  <c:v>EC med</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xVal>
            <c:numRef>
              <c:f>SAR!$A$17:$A$26</c:f>
              <c:numCache>
                <c:formatCode>General</c:formatCode>
                <c:ptCount val="10"/>
                <c:pt idx="0">
                  <c:v>0.5</c:v>
                </c:pt>
                <c:pt idx="1">
                  <c:v>1</c:v>
                </c:pt>
                <c:pt idx="2">
                  <c:v>2</c:v>
                </c:pt>
                <c:pt idx="3">
                  <c:v>3</c:v>
                </c:pt>
                <c:pt idx="4">
                  <c:v>4</c:v>
                </c:pt>
                <c:pt idx="5">
                  <c:v>5</c:v>
                </c:pt>
                <c:pt idx="6">
                  <c:v>6</c:v>
                </c:pt>
                <c:pt idx="7">
                  <c:v>7</c:v>
                </c:pt>
                <c:pt idx="8">
                  <c:v>8</c:v>
                </c:pt>
                <c:pt idx="9">
                  <c:v>9</c:v>
                </c:pt>
              </c:numCache>
            </c:numRef>
          </c:xVal>
          <c:yVal>
            <c:numRef>
              <c:f>SAR!$C$17:$C$26</c:f>
              <c:numCache>
                <c:formatCode>0.00</c:formatCode>
                <c:ptCount val="10"/>
                <c:pt idx="0">
                  <c:v>0.79263854906250009</c:v>
                </c:pt>
                <c:pt idx="1">
                  <c:v>0.76685446999999995</c:v>
                </c:pt>
                <c:pt idx="2">
                  <c:v>0.69397073999999992</c:v>
                </c:pt>
                <c:pt idx="3">
                  <c:v>0.61324481000000008</c:v>
                </c:pt>
                <c:pt idx="4">
                  <c:v>0.52629668000000007</c:v>
                </c:pt>
                <c:pt idx="5">
                  <c:v>0.43213034999999989</c:v>
                </c:pt>
                <c:pt idx="6">
                  <c:v>0.33960181999999883</c:v>
                </c:pt>
                <c:pt idx="7">
                  <c:v>0.26469509000000135</c:v>
                </c:pt>
                <c:pt idx="8">
                  <c:v>0.21260615999999732</c:v>
                </c:pt>
                <c:pt idx="9">
                  <c:v>0.14463502999998745</c:v>
                </c:pt>
              </c:numCache>
            </c:numRef>
          </c:yVal>
          <c:smooth val="1"/>
        </c:ser>
        <c:ser>
          <c:idx val="2"/>
          <c:order val="2"/>
          <c:tx>
            <c:strRef>
              <c:f>SAR!$D$16</c:f>
              <c:strCache>
                <c:ptCount val="1"/>
                <c:pt idx="0">
                  <c:v>EC&gt;0.55</c:v>
                </c:pt>
              </c:strCache>
            </c:strRef>
          </c:tx>
          <c:spPr>
            <a:ln w="12700">
              <a:solidFill>
                <a:srgbClr val="339966"/>
              </a:solidFill>
              <a:prstDash val="solid"/>
            </a:ln>
          </c:spPr>
          <c:marker>
            <c:symbol val="triangle"/>
            <c:size val="5"/>
            <c:spPr>
              <a:solidFill>
                <a:srgbClr val="339966"/>
              </a:solidFill>
              <a:ln>
                <a:solidFill>
                  <a:srgbClr val="339966"/>
                </a:solidFill>
                <a:prstDash val="solid"/>
              </a:ln>
            </c:spPr>
          </c:marker>
          <c:xVal>
            <c:numRef>
              <c:f>SAR!$A$17:$A$26</c:f>
              <c:numCache>
                <c:formatCode>General</c:formatCode>
                <c:ptCount val="10"/>
                <c:pt idx="0">
                  <c:v>0.5</c:v>
                </c:pt>
                <c:pt idx="1">
                  <c:v>1</c:v>
                </c:pt>
                <c:pt idx="2">
                  <c:v>2</c:v>
                </c:pt>
                <c:pt idx="3">
                  <c:v>3</c:v>
                </c:pt>
                <c:pt idx="4">
                  <c:v>4</c:v>
                </c:pt>
                <c:pt idx="5">
                  <c:v>5</c:v>
                </c:pt>
                <c:pt idx="6">
                  <c:v>6</c:v>
                </c:pt>
                <c:pt idx="7">
                  <c:v>7</c:v>
                </c:pt>
                <c:pt idx="8">
                  <c:v>8</c:v>
                </c:pt>
                <c:pt idx="9">
                  <c:v>9</c:v>
                </c:pt>
              </c:numCache>
            </c:numRef>
          </c:xVal>
          <c:yVal>
            <c:numRef>
              <c:f>SAR!$D$17:$D$26</c:f>
              <c:numCache>
                <c:formatCode>0.00</c:formatCode>
                <c:ptCount val="10"/>
                <c:pt idx="0">
                  <c:v>0.96743850624999994</c:v>
                </c:pt>
                <c:pt idx="1">
                  <c:v>0.93959609999999993</c:v>
                </c:pt>
                <c:pt idx="2">
                  <c:v>0.89577760000000006</c:v>
                </c:pt>
                <c:pt idx="3">
                  <c:v>0.86360409999999999</c:v>
                </c:pt>
                <c:pt idx="4">
                  <c:v>0.83756160000000013</c:v>
                </c:pt>
                <c:pt idx="5">
                  <c:v>0.81156249999999996</c:v>
                </c:pt>
                <c:pt idx="6">
                  <c:v>0.77894560000000002</c:v>
                </c:pt>
                <c:pt idx="7">
                  <c:v>0.73247609999999985</c:v>
                </c:pt>
                <c:pt idx="8">
                  <c:v>0.66434559999999998</c:v>
                </c:pt>
                <c:pt idx="9">
                  <c:v>0.56617210000000007</c:v>
                </c:pt>
              </c:numCache>
            </c:numRef>
          </c:yVal>
          <c:smooth val="1"/>
        </c:ser>
        <c:dLbls>
          <c:showLegendKey val="0"/>
          <c:showVal val="0"/>
          <c:showCatName val="0"/>
          <c:showSerName val="0"/>
          <c:showPercent val="0"/>
          <c:showBubbleSize val="0"/>
        </c:dLbls>
        <c:axId val="406002696"/>
        <c:axId val="453927208"/>
      </c:scatterChart>
      <c:valAx>
        <c:axId val="406002696"/>
        <c:scaling>
          <c:orientation val="minMax"/>
        </c:scaling>
        <c:delete val="0"/>
        <c:axPos val="b"/>
        <c:title>
          <c:tx>
            <c:rich>
              <a:bodyPr/>
              <a:lstStyle/>
              <a:p>
                <a:pPr>
                  <a:defRPr sz="1075" b="1" i="0" u="none" strike="noStrike" baseline="0">
                    <a:solidFill>
                      <a:srgbClr val="000000"/>
                    </a:solidFill>
                    <a:latin typeface="Arial"/>
                    <a:ea typeface="Arial"/>
                    <a:cs typeface="Arial"/>
                  </a:defRPr>
                </a:pPr>
                <a:r>
                  <a:rPr lang="en-US"/>
                  <a:t>SAR</a:t>
                </a:r>
              </a:p>
            </c:rich>
          </c:tx>
          <c:layout>
            <c:manualLayout>
              <c:xMode val="edge"/>
              <c:yMode val="edge"/>
              <c:x val="0.42769868020493906"/>
              <c:y val="0.8970589182487163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453927208"/>
        <c:crosses val="autoZero"/>
        <c:crossBetween val="midCat"/>
      </c:valAx>
      <c:valAx>
        <c:axId val="453927208"/>
        <c:scaling>
          <c:orientation val="minMax"/>
        </c:scaling>
        <c:delete val="0"/>
        <c:axPos val="l"/>
        <c:majorGridlines>
          <c:spPr>
            <a:ln w="3175">
              <a:solidFill>
                <a:srgbClr val="FFFFFF"/>
              </a:solidFill>
              <a:prstDash val="solid"/>
            </a:ln>
          </c:spPr>
        </c:majorGridlines>
        <c:title>
          <c:tx>
            <c:rich>
              <a:bodyPr/>
              <a:lstStyle/>
              <a:p>
                <a:pPr>
                  <a:defRPr sz="1075" b="1" i="0" u="none" strike="noStrike" baseline="0">
                    <a:solidFill>
                      <a:srgbClr val="000000"/>
                    </a:solidFill>
                    <a:latin typeface="Arial"/>
                    <a:ea typeface="Arial"/>
                    <a:cs typeface="Arial"/>
                  </a:defRPr>
                </a:pPr>
                <a:r>
                  <a:rPr lang="en-US"/>
                  <a:t>Score</a:t>
                </a:r>
              </a:p>
            </c:rich>
          </c:tx>
          <c:layout>
            <c:manualLayout>
              <c:xMode val="edge"/>
              <c:yMode val="edge"/>
              <c:x val="1.0183307459569331E-2"/>
              <c:y val="0.36029418868653679"/>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406002696"/>
        <c:crosses val="autoZero"/>
        <c:crossBetween val="midCat"/>
      </c:valAx>
      <c:spPr>
        <a:solidFill>
          <a:srgbClr val="FFFFFF"/>
        </a:solidFill>
        <a:ln w="25400">
          <a:noFill/>
        </a:ln>
      </c:spPr>
    </c:plotArea>
    <c:legend>
      <c:legendPos val="r"/>
      <c:layout>
        <c:manualLayout>
          <c:xMode val="edge"/>
          <c:yMode val="edge"/>
          <c:x val="0.78863279301454992"/>
          <c:y val="0.29447933272144688"/>
          <c:w val="0.20071071267068519"/>
          <c:h val="0.24233209345764306"/>
        </c:manualLayout>
      </c:layout>
      <c:overlay val="0"/>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777434070741176"/>
          <c:y val="9.3716367645825221E-2"/>
          <c:w val="0.5465122928198638"/>
          <c:h val="0.73407301505287981"/>
        </c:manualLayout>
      </c:layout>
      <c:scatterChart>
        <c:scatterStyle val="smoothMarker"/>
        <c:varyColors val="0"/>
        <c:ser>
          <c:idx val="0"/>
          <c:order val="0"/>
          <c:tx>
            <c:strRef>
              <c:f>SOC!$B$25</c:f>
              <c:strCache>
                <c:ptCount val="1"/>
                <c:pt idx="0">
                  <c:v>Chickasaw Silt Loam</c:v>
                </c:pt>
              </c:strCache>
            </c:strRef>
          </c:tx>
          <c:spPr>
            <a:ln w="25400">
              <a:solidFill>
                <a:srgbClr val="000080"/>
              </a:solidFill>
              <a:prstDash val="solid"/>
            </a:ln>
          </c:spPr>
          <c:marker>
            <c:symbol val="diamond"/>
            <c:size val="5"/>
            <c:spPr>
              <a:solidFill>
                <a:srgbClr val="000080"/>
              </a:solidFill>
              <a:ln>
                <a:solidFill>
                  <a:srgbClr val="000080"/>
                </a:solidFill>
                <a:prstDash val="solid"/>
              </a:ln>
            </c:spPr>
          </c:marker>
          <c:xVal>
            <c:numRef>
              <c:f>SOC!$A$26:$A$36</c:f>
              <c:numCache>
                <c:formatCode>0.0</c:formatCode>
                <c:ptCount val="11"/>
                <c:pt idx="0">
                  <c:v>0.5</c:v>
                </c:pt>
                <c:pt idx="1">
                  <c:v>1</c:v>
                </c:pt>
                <c:pt idx="2">
                  <c:v>1.5</c:v>
                </c:pt>
                <c:pt idx="3">
                  <c:v>2</c:v>
                </c:pt>
                <c:pt idx="4">
                  <c:v>2.5</c:v>
                </c:pt>
                <c:pt idx="5">
                  <c:v>3</c:v>
                </c:pt>
                <c:pt idx="6">
                  <c:v>3.5</c:v>
                </c:pt>
                <c:pt idx="7">
                  <c:v>4</c:v>
                </c:pt>
                <c:pt idx="8">
                  <c:v>4.5</c:v>
                </c:pt>
                <c:pt idx="9">
                  <c:v>5</c:v>
                </c:pt>
                <c:pt idx="10" formatCode="General">
                  <c:v>10</c:v>
                </c:pt>
              </c:numCache>
            </c:numRef>
          </c:xVal>
          <c:yVal>
            <c:numRef>
              <c:f>SOC!$B$26:$B$36</c:f>
              <c:numCache>
                <c:formatCode>0.00</c:formatCode>
                <c:ptCount val="11"/>
                <c:pt idx="0">
                  <c:v>7.2999872530042906E-2</c:v>
                </c:pt>
                <c:pt idx="1">
                  <c:v>0.23704102975759073</c:v>
                </c:pt>
                <c:pt idx="2">
                  <c:v>0.55071351251292588</c:v>
                </c:pt>
                <c:pt idx="3">
                  <c:v>0.82864849060152845</c:v>
                </c:pt>
                <c:pt idx="4">
                  <c:v>0.95019746771482183</c:v>
                </c:pt>
                <c:pt idx="5">
                  <c:v>0.98688929750961829</c:v>
                </c:pt>
                <c:pt idx="6">
                  <c:v>0.99664403393396472</c:v>
                </c:pt>
                <c:pt idx="7">
                  <c:v>0.99914723974928754</c:v>
                </c:pt>
                <c:pt idx="8">
                  <c:v>0.99978371645414632</c:v>
                </c:pt>
                <c:pt idx="9">
                  <c:v>0.99994517058965382</c:v>
                </c:pt>
                <c:pt idx="10">
                  <c:v>0.99999999993998823</c:v>
                </c:pt>
              </c:numCache>
            </c:numRef>
          </c:yVal>
          <c:smooth val="1"/>
        </c:ser>
        <c:ser>
          <c:idx val="1"/>
          <c:order val="1"/>
          <c:tx>
            <c:strRef>
              <c:f>SOC!$C$25</c:f>
              <c:strCache>
                <c:ptCount val="1"/>
                <c:pt idx="0">
                  <c:v>clayey Boroll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xVal>
            <c:numRef>
              <c:f>SOC!$A$26:$A$36</c:f>
              <c:numCache>
                <c:formatCode>0.0</c:formatCode>
                <c:ptCount val="11"/>
                <c:pt idx="0">
                  <c:v>0.5</c:v>
                </c:pt>
                <c:pt idx="1">
                  <c:v>1</c:v>
                </c:pt>
                <c:pt idx="2">
                  <c:v>1.5</c:v>
                </c:pt>
                <c:pt idx="3">
                  <c:v>2</c:v>
                </c:pt>
                <c:pt idx="4">
                  <c:v>2.5</c:v>
                </c:pt>
                <c:pt idx="5">
                  <c:v>3</c:v>
                </c:pt>
                <c:pt idx="6">
                  <c:v>3.5</c:v>
                </c:pt>
                <c:pt idx="7">
                  <c:v>4</c:v>
                </c:pt>
                <c:pt idx="8">
                  <c:v>4.5</c:v>
                </c:pt>
                <c:pt idx="9">
                  <c:v>5</c:v>
                </c:pt>
                <c:pt idx="10" formatCode="General">
                  <c:v>10</c:v>
                </c:pt>
              </c:numCache>
            </c:numRef>
          </c:xVal>
          <c:yVal>
            <c:numRef>
              <c:f>SOC!$C$26:$C$36</c:f>
              <c:numCache>
                <c:formatCode>0.00</c:formatCode>
                <c:ptCount val="11"/>
                <c:pt idx="0">
                  <c:v>4.8688624511844622E-2</c:v>
                </c:pt>
                <c:pt idx="1">
                  <c:v>0.11600983058251009</c:v>
                </c:pt>
                <c:pt idx="2">
                  <c:v>0.2517791247460856</c:v>
                </c:pt>
                <c:pt idx="3">
                  <c:v>0.46318648645517069</c:v>
                </c:pt>
                <c:pt idx="4">
                  <c:v>0.68871185723016692</c:v>
                </c:pt>
                <c:pt idx="5">
                  <c:v>0.85014375513986096</c:v>
                </c:pt>
                <c:pt idx="6">
                  <c:v>0.93567705573368987</c:v>
                </c:pt>
                <c:pt idx="7">
                  <c:v>0.97388997492009888</c:v>
                </c:pt>
                <c:pt idx="8">
                  <c:v>0.98965244946480113</c:v>
                </c:pt>
                <c:pt idx="9">
                  <c:v>0.9959388876819899</c:v>
                </c:pt>
                <c:pt idx="10">
                  <c:v>0.9999996681156671</c:v>
                </c:pt>
              </c:numCache>
            </c:numRef>
          </c:yVal>
          <c:smooth val="1"/>
        </c:ser>
        <c:ser>
          <c:idx val="2"/>
          <c:order val="2"/>
          <c:tx>
            <c:strRef>
              <c:f>SOC!$D$25</c:f>
              <c:strCache>
                <c:ptCount val="1"/>
                <c:pt idx="0">
                  <c:v>loamy Boroll</c:v>
                </c:pt>
              </c:strCache>
            </c:strRef>
          </c:tx>
          <c:spPr>
            <a:ln w="15875">
              <a:solidFill>
                <a:schemeClr val="accent6">
                  <a:lumMod val="50000"/>
                </a:schemeClr>
              </a:solidFill>
              <a:prstDash val="solid"/>
            </a:ln>
          </c:spPr>
          <c:marker>
            <c:symbol val="triangle"/>
            <c:size val="5"/>
            <c:spPr>
              <a:solidFill>
                <a:schemeClr val="accent6">
                  <a:lumMod val="50000"/>
                </a:schemeClr>
              </a:solidFill>
              <a:ln>
                <a:solidFill>
                  <a:schemeClr val="accent6">
                    <a:lumMod val="50000"/>
                  </a:schemeClr>
                </a:solidFill>
                <a:prstDash val="solid"/>
              </a:ln>
            </c:spPr>
          </c:marker>
          <c:xVal>
            <c:numRef>
              <c:f>SOC!$A$26:$A$36</c:f>
              <c:numCache>
                <c:formatCode>0.0</c:formatCode>
                <c:ptCount val="11"/>
                <c:pt idx="0">
                  <c:v>0.5</c:v>
                </c:pt>
                <c:pt idx="1">
                  <c:v>1</c:v>
                </c:pt>
                <c:pt idx="2">
                  <c:v>1.5</c:v>
                </c:pt>
                <c:pt idx="3">
                  <c:v>2</c:v>
                </c:pt>
                <c:pt idx="4">
                  <c:v>2.5</c:v>
                </c:pt>
                <c:pt idx="5">
                  <c:v>3</c:v>
                </c:pt>
                <c:pt idx="6">
                  <c:v>3.5</c:v>
                </c:pt>
                <c:pt idx="7">
                  <c:v>4</c:v>
                </c:pt>
                <c:pt idx="8">
                  <c:v>4.5</c:v>
                </c:pt>
                <c:pt idx="9">
                  <c:v>5</c:v>
                </c:pt>
                <c:pt idx="10" formatCode="General">
                  <c:v>10</c:v>
                </c:pt>
              </c:numCache>
            </c:numRef>
          </c:xVal>
          <c:yVal>
            <c:numRef>
              <c:f>SOC!$D$26:$D$36</c:f>
              <c:numCache>
                <c:formatCode>0.00</c:formatCode>
                <c:ptCount val="11"/>
                <c:pt idx="0">
                  <c:v>4.6924866226398493E-2</c:v>
                </c:pt>
                <c:pt idx="1">
                  <c:v>0.10829551831698589</c:v>
                </c:pt>
                <c:pt idx="2">
                  <c:v>0.23051668785721063</c:v>
                </c:pt>
                <c:pt idx="3">
                  <c:v>0.42494131776891597</c:v>
                </c:pt>
                <c:pt idx="4">
                  <c:v>0.64573728981941203</c:v>
                </c:pt>
                <c:pt idx="5">
                  <c:v>0.81805557512196181</c:v>
                </c:pt>
                <c:pt idx="6">
                  <c:v>0.91729158069646977</c:v>
                </c:pt>
                <c:pt idx="7">
                  <c:v>0.96473556170030261</c:v>
                </c:pt>
                <c:pt idx="8">
                  <c:v>0.98539752339370157</c:v>
                </c:pt>
                <c:pt idx="9">
                  <c:v>0.99402827007529004</c:v>
                </c:pt>
                <c:pt idx="10">
                  <c:v>0.99999927961475987</c:v>
                </c:pt>
              </c:numCache>
            </c:numRef>
          </c:yVal>
          <c:smooth val="1"/>
        </c:ser>
        <c:ser>
          <c:idx val="3"/>
          <c:order val="3"/>
          <c:tx>
            <c:strRef>
              <c:f>SOC!$E$25</c:f>
              <c:strCache>
                <c:ptCount val="1"/>
                <c:pt idx="0">
                  <c:v>loamy Boralf</c:v>
                </c:pt>
              </c:strCache>
            </c:strRef>
          </c:tx>
          <c:spPr>
            <a:ln w="12700">
              <a:solidFill>
                <a:srgbClr val="00FFFF"/>
              </a:solidFill>
              <a:prstDash val="solid"/>
            </a:ln>
          </c:spPr>
          <c:marker>
            <c:symbol val="x"/>
            <c:size val="5"/>
            <c:spPr>
              <a:noFill/>
              <a:ln>
                <a:solidFill>
                  <a:srgbClr val="00FFFF"/>
                </a:solidFill>
                <a:prstDash val="solid"/>
              </a:ln>
            </c:spPr>
          </c:marker>
          <c:xVal>
            <c:numRef>
              <c:f>SOC!$A$26:$A$36</c:f>
              <c:numCache>
                <c:formatCode>0.0</c:formatCode>
                <c:ptCount val="11"/>
                <c:pt idx="0">
                  <c:v>0.5</c:v>
                </c:pt>
                <c:pt idx="1">
                  <c:v>1</c:v>
                </c:pt>
                <c:pt idx="2">
                  <c:v>1.5</c:v>
                </c:pt>
                <c:pt idx="3">
                  <c:v>2</c:v>
                </c:pt>
                <c:pt idx="4">
                  <c:v>2.5</c:v>
                </c:pt>
                <c:pt idx="5">
                  <c:v>3</c:v>
                </c:pt>
                <c:pt idx="6">
                  <c:v>3.5</c:v>
                </c:pt>
                <c:pt idx="7">
                  <c:v>4</c:v>
                </c:pt>
                <c:pt idx="8">
                  <c:v>4.5</c:v>
                </c:pt>
                <c:pt idx="9">
                  <c:v>5</c:v>
                </c:pt>
                <c:pt idx="10" formatCode="General">
                  <c:v>10</c:v>
                </c:pt>
              </c:numCache>
            </c:numRef>
          </c:xVal>
          <c:yVal>
            <c:numRef>
              <c:f>SOC!$E$26:$E$36</c:f>
              <c:numCache>
                <c:formatCode>0.00</c:formatCode>
                <c:ptCount val="11"/>
                <c:pt idx="0">
                  <c:v>9.6416078969771835E-2</c:v>
                </c:pt>
                <c:pt idx="1">
                  <c:v>0.36323029428505488</c:v>
                </c:pt>
                <c:pt idx="2">
                  <c:v>0.75305153462998298</c:v>
                </c:pt>
                <c:pt idx="3">
                  <c:v>0.94220273386111419</c:v>
                </c:pt>
                <c:pt idx="4">
                  <c:v>0.98865540015198716</c:v>
                </c:pt>
                <c:pt idx="5">
                  <c:v>0.99785812392851059</c:v>
                </c:pt>
                <c:pt idx="6">
                  <c:v>0.99959864146625388</c:v>
                </c:pt>
                <c:pt idx="7">
                  <c:v>0.9999248973037288</c:v>
                </c:pt>
                <c:pt idx="8">
                  <c:v>0.99998595041979921</c:v>
                </c:pt>
                <c:pt idx="9">
                  <c:v>0.99999737185325555</c:v>
                </c:pt>
                <c:pt idx="10">
                  <c:v>0.99999999999986211</c:v>
                </c:pt>
              </c:numCache>
            </c:numRef>
          </c:yVal>
          <c:smooth val="1"/>
        </c:ser>
        <c:ser>
          <c:idx val="4"/>
          <c:order val="4"/>
          <c:tx>
            <c:strRef>
              <c:f>SOC!$F$25</c:f>
              <c:strCache>
                <c:ptCount val="1"/>
                <c:pt idx="0">
                  <c:v>Riesel, txt 4</c:v>
                </c:pt>
              </c:strCache>
            </c:strRef>
          </c:tx>
          <c:spPr>
            <a:ln w="12700">
              <a:solidFill>
                <a:srgbClr val="800080"/>
              </a:solidFill>
              <a:prstDash val="solid"/>
            </a:ln>
          </c:spPr>
          <c:marker>
            <c:symbol val="star"/>
            <c:size val="5"/>
            <c:spPr>
              <a:noFill/>
              <a:ln>
                <a:solidFill>
                  <a:srgbClr val="800080"/>
                </a:solidFill>
                <a:prstDash val="solid"/>
              </a:ln>
            </c:spPr>
          </c:marker>
          <c:xVal>
            <c:numRef>
              <c:f>SOC!$A$26:$A$36</c:f>
              <c:numCache>
                <c:formatCode>0.0</c:formatCode>
                <c:ptCount val="11"/>
                <c:pt idx="0">
                  <c:v>0.5</c:v>
                </c:pt>
                <c:pt idx="1">
                  <c:v>1</c:v>
                </c:pt>
                <c:pt idx="2">
                  <c:v>1.5</c:v>
                </c:pt>
                <c:pt idx="3">
                  <c:v>2</c:v>
                </c:pt>
                <c:pt idx="4">
                  <c:v>2.5</c:v>
                </c:pt>
                <c:pt idx="5">
                  <c:v>3</c:v>
                </c:pt>
                <c:pt idx="6">
                  <c:v>3.5</c:v>
                </c:pt>
                <c:pt idx="7">
                  <c:v>4</c:v>
                </c:pt>
                <c:pt idx="8">
                  <c:v>4.5</c:v>
                </c:pt>
                <c:pt idx="9">
                  <c:v>5</c:v>
                </c:pt>
                <c:pt idx="10" formatCode="General">
                  <c:v>10</c:v>
                </c:pt>
              </c:numCache>
            </c:numRef>
          </c:xVal>
          <c:yVal>
            <c:numRef>
              <c:f>SOC!$F$26:$F$36</c:f>
              <c:numCache>
                <c:formatCode>0.00</c:formatCode>
                <c:ptCount val="11"/>
                <c:pt idx="0">
                  <c:v>0.16805905711840166</c:v>
                </c:pt>
                <c:pt idx="1">
                  <c:v>0.67153348740817931</c:v>
                </c:pt>
                <c:pt idx="2">
                  <c:v>0.95389815732277639</c:v>
                </c:pt>
                <c:pt idx="3">
                  <c:v>0.99524730293516483</c:v>
                </c:pt>
                <c:pt idx="4">
                  <c:v>0.99952837469287137</c:v>
                </c:pt>
                <c:pt idx="5">
                  <c:v>0.99995337975239529</c:v>
                </c:pt>
                <c:pt idx="6">
                  <c:v>0.99999539334517384</c:v>
                </c:pt>
                <c:pt idx="7">
                  <c:v>0.9999995448229837</c:v>
                </c:pt>
                <c:pt idx="8">
                  <c:v>0.99999995502477423</c:v>
                </c:pt>
                <c:pt idx="9">
                  <c:v>0.9999999955560801</c:v>
                </c:pt>
                <c:pt idx="10">
                  <c:v>1</c:v>
                </c:pt>
              </c:numCache>
            </c:numRef>
          </c:yVal>
          <c:smooth val="1"/>
        </c:ser>
        <c:ser>
          <c:idx val="5"/>
          <c:order val="5"/>
          <c:tx>
            <c:strRef>
              <c:f>SOC!$G$25</c:f>
              <c:strCache>
                <c:ptCount val="1"/>
                <c:pt idx="0">
                  <c:v>Riesel, txt 5</c:v>
                </c:pt>
              </c:strCache>
            </c:strRef>
          </c:tx>
          <c:spPr>
            <a:ln w="12700">
              <a:solidFill>
                <a:srgbClr val="800000"/>
              </a:solidFill>
              <a:prstDash val="solid"/>
            </a:ln>
          </c:spPr>
          <c:marker>
            <c:symbol val="circle"/>
            <c:size val="5"/>
            <c:spPr>
              <a:solidFill>
                <a:srgbClr val="800000"/>
              </a:solidFill>
              <a:ln>
                <a:solidFill>
                  <a:srgbClr val="800000"/>
                </a:solidFill>
                <a:prstDash val="solid"/>
              </a:ln>
            </c:spPr>
          </c:marker>
          <c:xVal>
            <c:numRef>
              <c:f>SOC!$A$26:$A$36</c:f>
              <c:numCache>
                <c:formatCode>0.0</c:formatCode>
                <c:ptCount val="11"/>
                <c:pt idx="0">
                  <c:v>0.5</c:v>
                </c:pt>
                <c:pt idx="1">
                  <c:v>1</c:v>
                </c:pt>
                <c:pt idx="2">
                  <c:v>1.5</c:v>
                </c:pt>
                <c:pt idx="3">
                  <c:v>2</c:v>
                </c:pt>
                <c:pt idx="4">
                  <c:v>2.5</c:v>
                </c:pt>
                <c:pt idx="5">
                  <c:v>3</c:v>
                </c:pt>
                <c:pt idx="6">
                  <c:v>3.5</c:v>
                </c:pt>
                <c:pt idx="7">
                  <c:v>4</c:v>
                </c:pt>
                <c:pt idx="8">
                  <c:v>4.5</c:v>
                </c:pt>
                <c:pt idx="9">
                  <c:v>5</c:v>
                </c:pt>
                <c:pt idx="10" formatCode="General">
                  <c:v>10</c:v>
                </c:pt>
              </c:numCache>
            </c:numRef>
          </c:xVal>
          <c:yVal>
            <c:numRef>
              <c:f>SOC!$G$26:$G$36</c:f>
              <c:numCache>
                <c:formatCode>0.00</c:formatCode>
                <c:ptCount val="11"/>
                <c:pt idx="0">
                  <c:v>0.15515926718872983</c:v>
                </c:pt>
                <c:pt idx="1">
                  <c:v>0.62822954081329152</c:v>
                </c:pt>
                <c:pt idx="2">
                  <c:v>0.93957098444088805</c:v>
                </c:pt>
                <c:pt idx="3">
                  <c:v>0.99305855036724389</c:v>
                </c:pt>
                <c:pt idx="4">
                  <c:v>0.99924088964094482</c:v>
                </c:pt>
                <c:pt idx="5">
                  <c:v>0.99991744217104472</c:v>
                </c:pt>
                <c:pt idx="6">
                  <c:v>0.99999102675301976</c:v>
                </c:pt>
                <c:pt idx="7">
                  <c:v>0.99999902475778113</c:v>
                </c:pt>
                <c:pt idx="8">
                  <c:v>0.99999989400819922</c:v>
                </c:pt>
                <c:pt idx="9">
                  <c:v>0.99999998848055094</c:v>
                </c:pt>
                <c:pt idx="10">
                  <c:v>1</c:v>
                </c:pt>
              </c:numCache>
            </c:numRef>
          </c:yVal>
          <c:smooth val="1"/>
        </c:ser>
        <c:dLbls>
          <c:showLegendKey val="0"/>
          <c:showVal val="0"/>
          <c:showCatName val="0"/>
          <c:showSerName val="0"/>
          <c:showPercent val="0"/>
          <c:showBubbleSize val="0"/>
        </c:dLbls>
        <c:axId val="453923680"/>
        <c:axId val="453926032"/>
      </c:scatterChart>
      <c:valAx>
        <c:axId val="453923680"/>
        <c:scaling>
          <c:orientation val="minMax"/>
          <c:max val="10"/>
        </c:scaling>
        <c:delete val="0"/>
        <c:axPos val="b"/>
        <c:majorGridlines/>
        <c:minorGridlines/>
        <c:title>
          <c:tx>
            <c:rich>
              <a:bodyPr/>
              <a:lstStyle/>
              <a:p>
                <a:pPr>
                  <a:defRPr sz="1200" b="1" i="0" u="none" strike="noStrike" baseline="0">
                    <a:solidFill>
                      <a:srgbClr val="000000"/>
                    </a:solidFill>
                    <a:latin typeface="Geneva"/>
                    <a:ea typeface="Geneva"/>
                    <a:cs typeface="Geneva"/>
                  </a:defRPr>
                </a:pPr>
                <a:r>
                  <a:rPr lang="en-US"/>
                  <a:t>TOC (%)</a:t>
                </a:r>
              </a:p>
            </c:rich>
          </c:tx>
          <c:layout>
            <c:manualLayout>
              <c:xMode val="edge"/>
              <c:yMode val="edge"/>
              <c:x val="0.35983314585676784"/>
              <c:y val="0.90207836463364466"/>
            </c:manualLayout>
          </c:layout>
          <c:overlay val="0"/>
          <c:spPr>
            <a:noFill/>
            <a:ln w="25400">
              <a:noFill/>
            </a:ln>
          </c:spPr>
        </c:title>
        <c:numFmt formatCode="0" sourceLinked="0"/>
        <c:majorTickMark val="in"/>
        <c:minorTickMark val="in"/>
        <c:tickLblPos val="nextTo"/>
        <c:spPr>
          <a:ln w="3175">
            <a:solidFill>
              <a:srgbClr val="000000"/>
            </a:solidFill>
            <a:prstDash val="solid"/>
          </a:ln>
        </c:spPr>
        <c:txPr>
          <a:bodyPr rot="0" vert="horz"/>
          <a:lstStyle/>
          <a:p>
            <a:pPr>
              <a:defRPr sz="1200" b="0" i="0" u="none" strike="noStrike" baseline="0">
                <a:solidFill>
                  <a:srgbClr val="000000"/>
                </a:solidFill>
                <a:latin typeface="Geneva"/>
                <a:ea typeface="Geneva"/>
                <a:cs typeface="Geneva"/>
              </a:defRPr>
            </a:pPr>
            <a:endParaRPr lang="en-US"/>
          </a:p>
        </c:txPr>
        <c:crossAx val="453926032"/>
        <c:crosses val="autoZero"/>
        <c:crossBetween val="midCat"/>
        <c:majorUnit val="1"/>
        <c:minorUnit val="0.25"/>
      </c:valAx>
      <c:valAx>
        <c:axId val="453926032"/>
        <c:scaling>
          <c:orientation val="minMax"/>
          <c:max val="1"/>
        </c:scaling>
        <c:delete val="0"/>
        <c:axPos val="l"/>
        <c:majorGridlines>
          <c:spPr>
            <a:ln w="3175">
              <a:solidFill>
                <a:schemeClr val="tx1">
                  <a:lumMod val="50000"/>
                  <a:lumOff val="50000"/>
                </a:schemeClr>
              </a:solidFill>
              <a:prstDash val="solid"/>
            </a:ln>
          </c:spPr>
        </c:majorGridlines>
        <c:title>
          <c:tx>
            <c:rich>
              <a:bodyPr/>
              <a:lstStyle/>
              <a:p>
                <a:pPr>
                  <a:defRPr sz="1200" b="1" i="0" u="none" strike="noStrike" baseline="0">
                    <a:solidFill>
                      <a:srgbClr val="000000"/>
                    </a:solidFill>
                    <a:latin typeface="Geneva"/>
                    <a:ea typeface="Geneva"/>
                    <a:cs typeface="Geneva"/>
                  </a:defRPr>
                </a:pPr>
                <a:r>
                  <a:rPr lang="en-US"/>
                  <a:t>score</a:t>
                </a:r>
              </a:p>
            </c:rich>
          </c:tx>
          <c:layout>
            <c:manualLayout>
              <c:xMode val="edge"/>
              <c:yMode val="edge"/>
              <c:x val="1.0460351109957423E-2"/>
              <c:y val="0.38575706004785953"/>
            </c:manualLayout>
          </c:layout>
          <c:overlay val="0"/>
          <c:spPr>
            <a:noFill/>
            <a:ln w="25400">
              <a:noFill/>
            </a:ln>
          </c:spPr>
        </c:title>
        <c:numFmt formatCode="0.0" sourceLinked="0"/>
        <c:majorTickMark val="in"/>
        <c:minorTickMark val="in"/>
        <c:tickLblPos val="nextTo"/>
        <c:spPr>
          <a:ln w="3175">
            <a:solidFill>
              <a:srgbClr val="000000"/>
            </a:solidFill>
            <a:prstDash val="solid"/>
          </a:ln>
        </c:spPr>
        <c:txPr>
          <a:bodyPr rot="0" vert="horz"/>
          <a:lstStyle/>
          <a:p>
            <a:pPr>
              <a:defRPr sz="1200" b="0" i="0" u="none" strike="noStrike" baseline="0">
                <a:solidFill>
                  <a:srgbClr val="000000"/>
                </a:solidFill>
                <a:latin typeface="Geneva"/>
                <a:ea typeface="Geneva"/>
                <a:cs typeface="Geneva"/>
              </a:defRPr>
            </a:pPr>
            <a:endParaRPr lang="en-US"/>
          </a:p>
        </c:txPr>
        <c:crossAx val="453923680"/>
        <c:crosses val="autoZero"/>
        <c:crossBetween val="midCat"/>
        <c:majorUnit val="0.1"/>
        <c:minorUnit val="5.0000000000000024E-2"/>
      </c:valAx>
      <c:spPr>
        <a:solidFill>
          <a:srgbClr val="FFFFFF"/>
        </a:solidFill>
        <a:ln w="25400">
          <a:noFill/>
        </a:ln>
      </c:spPr>
    </c:plotArea>
    <c:legend>
      <c:legendPos val="r"/>
      <c:layout>
        <c:manualLayout>
          <c:xMode val="edge"/>
          <c:yMode val="edge"/>
          <c:x val="0.6960140799707728"/>
          <c:y val="0.19944630208895134"/>
          <c:w val="0.29402033880380363"/>
          <c:h val="0.4182830171342740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Geneva"/>
              <a:ea typeface="Geneva"/>
              <a:cs typeface="Geneva"/>
            </a:defRPr>
          </a:pPr>
          <a:endParaRPr lang="en-US"/>
        </a:p>
      </c:txPr>
    </c:legend>
    <c:plotVisOnly val="1"/>
    <c:dispBlanksAs val="gap"/>
    <c:showDLblsOverMax val="0"/>
  </c:chart>
  <c:spPr>
    <a:solidFill>
      <a:srgbClr val="FFFFFF"/>
    </a:solidFill>
    <a:ln w="9525">
      <a:noFill/>
    </a:ln>
  </c:spPr>
  <c:txPr>
    <a:bodyPr/>
    <a:lstStyle/>
    <a:p>
      <a:pPr>
        <a:defRPr sz="1150" b="0" i="0" u="none" strike="noStrike" baseline="0">
          <a:solidFill>
            <a:srgbClr val="000000"/>
          </a:solidFill>
          <a:latin typeface="Geneva"/>
          <a:ea typeface="Geneva"/>
          <a:cs typeface="Geneva"/>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xVal>
            <c:numRef>
              <c:f>(SQIndex!$CN$29:$CN$37,SQIndex!$CN$83:$CN$91)</c:f>
              <c:numCache>
                <c:formatCode>0.0</c:formatCode>
                <c:ptCount val="18"/>
                <c:pt idx="0">
                  <c:v>5.4</c:v>
                </c:pt>
                <c:pt idx="1">
                  <c:v>8.6</c:v>
                </c:pt>
                <c:pt idx="2">
                  <c:v>8.4</c:v>
                </c:pt>
                <c:pt idx="3">
                  <c:v>7.6</c:v>
                </c:pt>
                <c:pt idx="4">
                  <c:v>4.8</c:v>
                </c:pt>
                <c:pt idx="5">
                  <c:v>4.8</c:v>
                </c:pt>
                <c:pt idx="6">
                  <c:v>8.6</c:v>
                </c:pt>
                <c:pt idx="7">
                  <c:v>5.4</c:v>
                </c:pt>
                <c:pt idx="8">
                  <c:v>12.2</c:v>
                </c:pt>
                <c:pt idx="9">
                  <c:v>9</c:v>
                </c:pt>
                <c:pt idx="10">
                  <c:v>8.6</c:v>
                </c:pt>
                <c:pt idx="11">
                  <c:v>8.85</c:v>
                </c:pt>
                <c:pt idx="12">
                  <c:v>10</c:v>
                </c:pt>
                <c:pt idx="13">
                  <c:v>13.2</c:v>
                </c:pt>
                <c:pt idx="14">
                  <c:v>8</c:v>
                </c:pt>
                <c:pt idx="15">
                  <c:v>10.6</c:v>
                </c:pt>
                <c:pt idx="16">
                  <c:v>4.8</c:v>
                </c:pt>
                <c:pt idx="17">
                  <c:v>6.6</c:v>
                </c:pt>
              </c:numCache>
            </c:numRef>
          </c:xVal>
          <c:yVal>
            <c:numRef>
              <c:f>(SQIndex!$CQ$29:$CQ$37,SQIndex!$CQ$83:$CQ$91)</c:f>
              <c:numCache>
                <c:formatCode>0.00</c:formatCode>
                <c:ptCount val="18"/>
                <c:pt idx="0">
                  <c:v>0.66750359384345859</c:v>
                </c:pt>
                <c:pt idx="1">
                  <c:v>0.89278650093115075</c:v>
                </c:pt>
                <c:pt idx="2">
                  <c:v>0.88575258212016239</c:v>
                </c:pt>
                <c:pt idx="3">
                  <c:v>0.8506896231874792</c:v>
                </c:pt>
                <c:pt idx="4">
                  <c:v>0.58334047828743707</c:v>
                </c:pt>
                <c:pt idx="5">
                  <c:v>0.58325545614549223</c:v>
                </c:pt>
                <c:pt idx="6">
                  <c:v>0.89283905474740433</c:v>
                </c:pt>
                <c:pt idx="7">
                  <c:v>0.66782654613890668</c:v>
                </c:pt>
                <c:pt idx="8">
                  <c:v>0.96047994640841405</c:v>
                </c:pt>
                <c:pt idx="9">
                  <c:v>0.90451765238921678</c:v>
                </c:pt>
                <c:pt idx="10">
                  <c:v>0.89193217566308869</c:v>
                </c:pt>
                <c:pt idx="11">
                  <c:v>0.90024055616807275</c:v>
                </c:pt>
                <c:pt idx="12">
                  <c:v>0.92911920886395216</c:v>
                </c:pt>
                <c:pt idx="13">
                  <c:v>0.96837440186884993</c:v>
                </c:pt>
                <c:pt idx="14">
                  <c:v>0.86856064232666819</c:v>
                </c:pt>
                <c:pt idx="15">
                  <c:v>0.94020421857735903</c:v>
                </c:pt>
                <c:pt idx="16">
                  <c:v>0.58255193926099447</c:v>
                </c:pt>
                <c:pt idx="17">
                  <c:v>0.78658126372938619</c:v>
                </c:pt>
              </c:numCache>
            </c:numRef>
          </c:yVal>
          <c:smooth val="0"/>
        </c:ser>
        <c:dLbls>
          <c:showLegendKey val="0"/>
          <c:showVal val="0"/>
          <c:showCatName val="0"/>
          <c:showSerName val="0"/>
          <c:showPercent val="0"/>
          <c:showBubbleSize val="0"/>
        </c:dLbls>
        <c:axId val="345469784"/>
        <c:axId val="345470176"/>
      </c:scatterChart>
      <c:valAx>
        <c:axId val="345469784"/>
        <c:scaling>
          <c:orientation val="minMax"/>
          <c:max val="16"/>
          <c:min val="0"/>
        </c:scaling>
        <c:delete val="0"/>
        <c:axPos val="b"/>
        <c:numFmt formatCode="0.0" sourceLinked="1"/>
        <c:majorTickMark val="out"/>
        <c:minorTickMark val="none"/>
        <c:tickLblPos val="nextTo"/>
        <c:crossAx val="345470176"/>
        <c:crosses val="autoZero"/>
        <c:crossBetween val="midCat"/>
        <c:majorUnit val="2"/>
      </c:valAx>
      <c:valAx>
        <c:axId val="345470176"/>
        <c:scaling>
          <c:orientation val="minMax"/>
          <c:max val="1.2"/>
        </c:scaling>
        <c:delete val="0"/>
        <c:axPos val="l"/>
        <c:majorGridlines/>
        <c:numFmt formatCode="0.00" sourceLinked="1"/>
        <c:majorTickMark val="out"/>
        <c:minorTickMark val="none"/>
        <c:tickLblPos val="nextTo"/>
        <c:crossAx val="345469784"/>
        <c:crosses val="autoZero"/>
        <c:crossBetween val="midCat"/>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380200107018598"/>
          <c:y val="9.6875443460587227E-2"/>
          <c:w val="0.59008407335697011"/>
          <c:h val="0.63125288964640669"/>
        </c:manualLayout>
      </c:layout>
      <c:scatterChart>
        <c:scatterStyle val="smoothMarker"/>
        <c:varyColors val="0"/>
        <c:ser>
          <c:idx val="0"/>
          <c:order val="0"/>
          <c:tx>
            <c:strRef>
              <c:f>WFPS!$B$31</c:f>
              <c:strCache>
                <c:ptCount val="1"/>
                <c:pt idx="0">
                  <c:v>Sandy loam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xVal>
            <c:numRef>
              <c:f>WFPS!$A$32:$A$42</c:f>
              <c:numCache>
                <c:formatCode>General</c:formatCode>
                <c:ptCount val="11"/>
                <c:pt idx="0">
                  <c:v>0.2</c:v>
                </c:pt>
                <c:pt idx="1">
                  <c:v>0.3</c:v>
                </c:pt>
                <c:pt idx="2">
                  <c:v>0.4</c:v>
                </c:pt>
                <c:pt idx="3">
                  <c:v>0.5</c:v>
                </c:pt>
                <c:pt idx="4">
                  <c:v>0.6</c:v>
                </c:pt>
                <c:pt idx="5">
                  <c:v>0.7</c:v>
                </c:pt>
                <c:pt idx="6">
                  <c:v>0.8</c:v>
                </c:pt>
                <c:pt idx="7">
                  <c:v>0.9</c:v>
                </c:pt>
              </c:numCache>
            </c:numRef>
          </c:xVal>
          <c:yVal>
            <c:numRef>
              <c:f>WFPS!$B$32:$B$42</c:f>
              <c:numCache>
                <c:formatCode>0.00</c:formatCode>
                <c:ptCount val="11"/>
                <c:pt idx="0">
                  <c:v>0.39480000000000004</c:v>
                </c:pt>
                <c:pt idx="1">
                  <c:v>0.68730000000000013</c:v>
                </c:pt>
                <c:pt idx="2">
                  <c:v>0.87920000000000009</c:v>
                </c:pt>
                <c:pt idx="3">
                  <c:v>0.97050000000000014</c:v>
                </c:pt>
                <c:pt idx="4">
                  <c:v>0.96120000000000028</c:v>
                </c:pt>
                <c:pt idx="5">
                  <c:v>0.85130000000000017</c:v>
                </c:pt>
                <c:pt idx="6">
                  <c:v>0.64080000000000004</c:v>
                </c:pt>
                <c:pt idx="7">
                  <c:v>0.32970000000000077</c:v>
                </c:pt>
              </c:numCache>
            </c:numRef>
          </c:yVal>
          <c:smooth val="1"/>
        </c:ser>
        <c:ser>
          <c:idx val="1"/>
          <c:order val="1"/>
          <c:tx>
            <c:strRef>
              <c:f>WFPS!$C$31</c:f>
              <c:strCache>
                <c:ptCount val="1"/>
                <c:pt idx="0">
                  <c:v>Silty clay</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xVal>
            <c:numRef>
              <c:f>WFPS!$A$32:$A$42</c:f>
              <c:numCache>
                <c:formatCode>General</c:formatCode>
                <c:ptCount val="11"/>
                <c:pt idx="0">
                  <c:v>0.2</c:v>
                </c:pt>
                <c:pt idx="1">
                  <c:v>0.3</c:v>
                </c:pt>
                <c:pt idx="2">
                  <c:v>0.4</c:v>
                </c:pt>
                <c:pt idx="3">
                  <c:v>0.5</c:v>
                </c:pt>
                <c:pt idx="4">
                  <c:v>0.6</c:v>
                </c:pt>
                <c:pt idx="5">
                  <c:v>0.7</c:v>
                </c:pt>
                <c:pt idx="6">
                  <c:v>0.8</c:v>
                </c:pt>
                <c:pt idx="7">
                  <c:v>0.9</c:v>
                </c:pt>
              </c:numCache>
            </c:numRef>
          </c:xVal>
          <c:yVal>
            <c:numRef>
              <c:f>WFPS!$C$32:$C$42</c:f>
              <c:numCache>
                <c:formatCode>0.00</c:formatCode>
                <c:ptCount val="11"/>
                <c:pt idx="0">
                  <c:v>0.19540000000000013</c:v>
                </c:pt>
                <c:pt idx="1">
                  <c:v>0.52639999999999987</c:v>
                </c:pt>
                <c:pt idx="2">
                  <c:v>0.76460000000000017</c:v>
                </c:pt>
                <c:pt idx="3">
                  <c:v>0.90999999999999992</c:v>
                </c:pt>
                <c:pt idx="4">
                  <c:v>0.96259999999999968</c:v>
                </c:pt>
                <c:pt idx="5">
                  <c:v>0.92240000000000011</c:v>
                </c:pt>
                <c:pt idx="6">
                  <c:v>0.78940000000000055</c:v>
                </c:pt>
                <c:pt idx="7">
                  <c:v>0.56359999999999966</c:v>
                </c:pt>
              </c:numCache>
            </c:numRef>
          </c:yVal>
          <c:smooth val="1"/>
        </c:ser>
        <c:dLbls>
          <c:showLegendKey val="0"/>
          <c:showVal val="0"/>
          <c:showCatName val="0"/>
          <c:showSerName val="0"/>
          <c:showPercent val="0"/>
          <c:showBubbleSize val="0"/>
        </c:dLbls>
        <c:axId val="453929560"/>
        <c:axId val="453927992"/>
      </c:scatterChart>
      <c:valAx>
        <c:axId val="453929560"/>
        <c:scaling>
          <c:orientation val="minMax"/>
          <c:max val="1"/>
        </c:scaling>
        <c:delete val="0"/>
        <c:axPos val="b"/>
        <c:title>
          <c:tx>
            <c:rich>
              <a:bodyPr/>
              <a:lstStyle/>
              <a:p>
                <a:pPr>
                  <a:defRPr sz="1000" b="1" i="0" u="none" strike="noStrike" baseline="0">
                    <a:solidFill>
                      <a:srgbClr val="000000"/>
                    </a:solidFill>
                    <a:latin typeface="Arial"/>
                    <a:ea typeface="Arial"/>
                    <a:cs typeface="Arial"/>
                  </a:defRPr>
                </a:pPr>
                <a:r>
                  <a:rPr lang="en-US"/>
                  <a:t>Water-Filled Pore Space</a:t>
                </a:r>
              </a:p>
            </c:rich>
          </c:tx>
          <c:layout>
            <c:manualLayout>
              <c:xMode val="edge"/>
              <c:yMode val="edge"/>
              <c:x val="0.28030368104813347"/>
              <c:y val="0.8598515419947506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53927992"/>
        <c:crosses val="autoZero"/>
        <c:crossBetween val="midCat"/>
        <c:majorUnit val="0.1"/>
        <c:minorUnit val="0.1"/>
      </c:valAx>
      <c:valAx>
        <c:axId val="453927992"/>
        <c:scaling>
          <c:orientation val="minMax"/>
          <c:max val="1.1000000000000001"/>
          <c:min val="0"/>
        </c:scaling>
        <c:delete val="0"/>
        <c:axPos val="l"/>
        <c:majorGridlines>
          <c:spPr>
            <a:ln w="3175">
              <a:solidFill>
                <a:srgbClr val="FFFFFF"/>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WFPS score</a:t>
                </a:r>
              </a:p>
            </c:rich>
          </c:tx>
          <c:layout>
            <c:manualLayout>
              <c:xMode val="edge"/>
              <c:yMode val="edge"/>
              <c:x val="2.8409145137849534E-2"/>
              <c:y val="0.26136441929133858"/>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53929560"/>
        <c:crosses val="autoZero"/>
        <c:crossBetween val="midCat"/>
      </c:valAx>
      <c:spPr>
        <a:solidFill>
          <a:srgbClr val="FFFFFF"/>
        </a:solidFill>
        <a:ln w="25400">
          <a:noFill/>
        </a:ln>
      </c:spPr>
    </c:plotArea>
    <c:legend>
      <c:legendPos val="r"/>
      <c:layout>
        <c:manualLayout>
          <c:xMode val="edge"/>
          <c:yMode val="edge"/>
          <c:x val="0.7272744625930031"/>
          <c:y val="0.18437582020997367"/>
          <c:w val="0.22314092969783739"/>
          <c:h val="0.16875082020997367"/>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097052018684998"/>
          <c:y val="0.10233958309612218"/>
          <c:w val="0.75746423913258865"/>
          <c:h val="0.64035339137287883"/>
        </c:manualLayout>
      </c:layout>
      <c:scatterChart>
        <c:scatterStyle val="smoothMarker"/>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xVal>
            <c:numRef>
              <c:f>WFPS!$A$49:$A$56</c:f>
              <c:numCache>
                <c:formatCode>General</c:formatCode>
                <c:ptCount val="8"/>
                <c:pt idx="0">
                  <c:v>0.2</c:v>
                </c:pt>
                <c:pt idx="1">
                  <c:v>0.3</c:v>
                </c:pt>
                <c:pt idx="2">
                  <c:v>0.4</c:v>
                </c:pt>
                <c:pt idx="3">
                  <c:v>0.5</c:v>
                </c:pt>
                <c:pt idx="4">
                  <c:v>0.6</c:v>
                </c:pt>
                <c:pt idx="5">
                  <c:v>0.7</c:v>
                </c:pt>
                <c:pt idx="6">
                  <c:v>0.8</c:v>
                </c:pt>
                <c:pt idx="7">
                  <c:v>0.9</c:v>
                </c:pt>
              </c:numCache>
            </c:numRef>
          </c:xVal>
          <c:yVal>
            <c:numRef>
              <c:f>WFPS!$B$49:$B$56</c:f>
              <c:numCache>
                <c:formatCode>0.00</c:formatCode>
                <c:ptCount val="8"/>
                <c:pt idx="0">
                  <c:v>0.97914384638501895</c:v>
                </c:pt>
                <c:pt idx="1">
                  <c:v>0.9791110788804811</c:v>
                </c:pt>
                <c:pt idx="2">
                  <c:v>0.97835749955453599</c:v>
                </c:pt>
                <c:pt idx="3">
                  <c:v>0.97004124130975722</c:v>
                </c:pt>
                <c:pt idx="4">
                  <c:v>0.91520479568817426</c:v>
                </c:pt>
                <c:pt idx="5">
                  <c:v>0.70879932323859085</c:v>
                </c:pt>
                <c:pt idx="6">
                  <c:v>0.3681890807150987</c:v>
                </c:pt>
                <c:pt idx="7">
                  <c:v>0.13849691407455625</c:v>
                </c:pt>
              </c:numCache>
            </c:numRef>
          </c:yVal>
          <c:smooth val="1"/>
        </c:ser>
        <c:dLbls>
          <c:showLegendKey val="0"/>
          <c:showVal val="0"/>
          <c:showCatName val="0"/>
          <c:showSerName val="0"/>
          <c:showPercent val="0"/>
          <c:showBubbleSize val="0"/>
        </c:dLbls>
        <c:axId val="453925640"/>
        <c:axId val="453929952"/>
      </c:scatterChart>
      <c:valAx>
        <c:axId val="453925640"/>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Water-Filled Pore Space</a:t>
                </a:r>
              </a:p>
            </c:rich>
          </c:tx>
          <c:layout>
            <c:manualLayout>
              <c:xMode val="edge"/>
              <c:yMode val="edge"/>
              <c:x val="0.38247958044423586"/>
              <c:y val="0.8680584334852888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53929952"/>
        <c:crosses val="autoZero"/>
        <c:crossBetween val="midCat"/>
      </c:valAx>
      <c:valAx>
        <c:axId val="453929952"/>
        <c:scaling>
          <c:orientation val="minMax"/>
          <c:max val="1"/>
        </c:scaling>
        <c:delete val="0"/>
        <c:axPos val="l"/>
        <c:title>
          <c:tx>
            <c:rich>
              <a:bodyPr/>
              <a:lstStyle/>
              <a:p>
                <a:pPr>
                  <a:defRPr sz="1000" b="1" i="0" u="none" strike="noStrike" baseline="0">
                    <a:solidFill>
                      <a:srgbClr val="000000"/>
                    </a:solidFill>
                    <a:latin typeface="Arial"/>
                    <a:ea typeface="Arial"/>
                    <a:cs typeface="Arial"/>
                  </a:defRPr>
                </a:pPr>
                <a:r>
                  <a:rPr lang="en-US"/>
                  <a:t>WFPS score</a:t>
                </a:r>
              </a:p>
            </c:rich>
          </c:tx>
          <c:layout>
            <c:manualLayout>
              <c:xMode val="edge"/>
              <c:yMode val="edge"/>
              <c:x val="3.4188065577623723E-2"/>
              <c:y val="0.28472318153213305"/>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53925640"/>
        <c:crosses val="autoZero"/>
        <c:crossBetween val="midCat"/>
        <c:majorUnit val="0.2"/>
      </c:valAx>
      <c:spPr>
        <a:solidFill>
          <a:srgbClr val="FFFFFF"/>
        </a:solidFill>
        <a:ln w="12700">
          <a:solidFill>
            <a:srgbClr val="FFFFFF"/>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xVal>
            <c:numRef>
              <c:f>SQIndex!$CN$11:$CN$19</c:f>
              <c:numCache>
                <c:formatCode>0.0</c:formatCode>
                <c:ptCount val="9"/>
                <c:pt idx="0">
                  <c:v>4.2</c:v>
                </c:pt>
                <c:pt idx="1">
                  <c:v>6.4</c:v>
                </c:pt>
                <c:pt idx="2">
                  <c:v>5.6</c:v>
                </c:pt>
                <c:pt idx="3">
                  <c:v>5.6</c:v>
                </c:pt>
                <c:pt idx="4">
                  <c:v>6.6</c:v>
                </c:pt>
                <c:pt idx="5">
                  <c:v>5.8</c:v>
                </c:pt>
                <c:pt idx="6">
                  <c:v>6.2</c:v>
                </c:pt>
                <c:pt idx="7">
                  <c:v>5.4</c:v>
                </c:pt>
                <c:pt idx="8">
                  <c:v>4.2</c:v>
                </c:pt>
              </c:numCache>
            </c:numRef>
          </c:xVal>
          <c:yVal>
            <c:numRef>
              <c:f>SQIndex!$CQ$11:$CQ$19</c:f>
              <c:numCache>
                <c:formatCode>0.00</c:formatCode>
                <c:ptCount val="9"/>
                <c:pt idx="0">
                  <c:v>0.72627956205554667</c:v>
                </c:pt>
                <c:pt idx="1">
                  <c:v>0.90577008347408949</c:v>
                </c:pt>
                <c:pt idx="2">
                  <c:v>0.86470015888405416</c:v>
                </c:pt>
                <c:pt idx="3">
                  <c:v>0.86476412957582061</c:v>
                </c:pt>
                <c:pt idx="4">
                  <c:v>0.91346627848931294</c:v>
                </c:pt>
                <c:pt idx="5">
                  <c:v>0.87654742526366869</c:v>
                </c:pt>
                <c:pt idx="6">
                  <c:v>0.89722290540395921</c:v>
                </c:pt>
                <c:pt idx="7">
                  <c:v>0.85133960614211623</c:v>
                </c:pt>
                <c:pt idx="8">
                  <c:v>0.72646758445260307</c:v>
                </c:pt>
              </c:numCache>
            </c:numRef>
          </c:yVal>
          <c:smooth val="0"/>
        </c:ser>
        <c:dLbls>
          <c:showLegendKey val="0"/>
          <c:showVal val="0"/>
          <c:showCatName val="0"/>
          <c:showSerName val="0"/>
          <c:showPercent val="0"/>
          <c:showBubbleSize val="0"/>
        </c:dLbls>
        <c:axId val="345463120"/>
        <c:axId val="345462728"/>
      </c:scatterChart>
      <c:valAx>
        <c:axId val="345463120"/>
        <c:scaling>
          <c:orientation val="minMax"/>
          <c:max val="8"/>
          <c:min val="3"/>
        </c:scaling>
        <c:delete val="0"/>
        <c:axPos val="b"/>
        <c:numFmt formatCode="0.0" sourceLinked="1"/>
        <c:majorTickMark val="out"/>
        <c:minorTickMark val="none"/>
        <c:tickLblPos val="nextTo"/>
        <c:crossAx val="345462728"/>
        <c:crosses val="autoZero"/>
        <c:crossBetween val="midCat"/>
        <c:majorUnit val="1"/>
        <c:minorUnit val="0.1"/>
      </c:valAx>
      <c:valAx>
        <c:axId val="345462728"/>
        <c:scaling>
          <c:orientation val="minMax"/>
          <c:max val="1.2"/>
        </c:scaling>
        <c:delete val="0"/>
        <c:axPos val="l"/>
        <c:majorGridlines/>
        <c:numFmt formatCode="0.00" sourceLinked="1"/>
        <c:majorTickMark val="out"/>
        <c:minorTickMark val="none"/>
        <c:tickLblPos val="nextTo"/>
        <c:crossAx val="345463120"/>
        <c:crosses val="autoZero"/>
        <c:crossBetween val="midCat"/>
        <c:majorUnit val="0.2"/>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07535807140731"/>
          <c:y val="8.839797803052403E-2"/>
          <c:w val="0.5818195905368444"/>
          <c:h val="0.69060913209181118"/>
        </c:manualLayout>
      </c:layout>
      <c:scatterChart>
        <c:scatterStyle val="smoothMarker"/>
        <c:varyColors val="0"/>
        <c:ser>
          <c:idx val="0"/>
          <c:order val="0"/>
          <c:tx>
            <c:strRef>
              <c:f>AGG!$B$24</c:f>
              <c:strCache>
                <c:ptCount val="1"/>
                <c:pt idx="0">
                  <c:v>REISEL#1</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xVal>
            <c:numRef>
              <c:f>AGG!$A$25:$A$35</c:f>
              <c:numCache>
                <c:formatCode>General</c:formatCode>
                <c:ptCount val="11"/>
                <c:pt idx="0">
                  <c:v>0</c:v>
                </c:pt>
                <c:pt idx="1">
                  <c:v>20</c:v>
                </c:pt>
                <c:pt idx="2">
                  <c:v>40</c:v>
                </c:pt>
                <c:pt idx="3">
                  <c:v>45</c:v>
                </c:pt>
                <c:pt idx="4">
                  <c:v>50</c:v>
                </c:pt>
                <c:pt idx="5">
                  <c:v>51</c:v>
                </c:pt>
                <c:pt idx="6">
                  <c:v>55</c:v>
                </c:pt>
                <c:pt idx="7">
                  <c:v>60</c:v>
                </c:pt>
                <c:pt idx="8">
                  <c:v>70</c:v>
                </c:pt>
                <c:pt idx="9">
                  <c:v>80</c:v>
                </c:pt>
                <c:pt idx="10">
                  <c:v>100</c:v>
                </c:pt>
              </c:numCache>
            </c:numRef>
          </c:xVal>
          <c:yVal>
            <c:numRef>
              <c:f>AGG!$B$25:$B$35</c:f>
              <c:numCache>
                <c:formatCode>0.00</c:formatCode>
                <c:ptCount val="11"/>
                <c:pt idx="0">
                  <c:v>-0.22067616899577047</c:v>
                </c:pt>
                <c:pt idx="1">
                  <c:v>0.38617575020260086</c:v>
                </c:pt>
                <c:pt idx="2">
                  <c:v>0.81307729655778127</c:v>
                </c:pt>
                <c:pt idx="3">
                  <c:v>0.88333407096555727</c:v>
                </c:pt>
                <c:pt idx="4">
                  <c:v>0.93743703959560243</c:v>
                </c:pt>
                <c:pt idx="5">
                  <c:v>1</c:v>
                </c:pt>
                <c:pt idx="6">
                  <c:v>1</c:v>
                </c:pt>
                <c:pt idx="7">
                  <c:v>1</c:v>
                </c:pt>
                <c:pt idx="8">
                  <c:v>1</c:v>
                </c:pt>
                <c:pt idx="9">
                  <c:v>1</c:v>
                </c:pt>
                <c:pt idx="10">
                  <c:v>1</c:v>
                </c:pt>
              </c:numCache>
            </c:numRef>
          </c:yVal>
          <c:smooth val="1"/>
        </c:ser>
        <c:ser>
          <c:idx val="1"/>
          <c:order val="1"/>
          <c:tx>
            <c:strRef>
              <c:f>AGG!$C$24</c:f>
              <c:strCache>
                <c:ptCount val="1"/>
                <c:pt idx="0">
                  <c:v>REISEL #2</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xVal>
            <c:numRef>
              <c:f>AGG!$A$25:$A$35</c:f>
              <c:numCache>
                <c:formatCode>General</c:formatCode>
                <c:ptCount val="11"/>
                <c:pt idx="0">
                  <c:v>0</c:v>
                </c:pt>
                <c:pt idx="1">
                  <c:v>20</c:v>
                </c:pt>
                <c:pt idx="2">
                  <c:v>40</c:v>
                </c:pt>
                <c:pt idx="3">
                  <c:v>45</c:v>
                </c:pt>
                <c:pt idx="4">
                  <c:v>50</c:v>
                </c:pt>
                <c:pt idx="5">
                  <c:v>51</c:v>
                </c:pt>
                <c:pt idx="6">
                  <c:v>55</c:v>
                </c:pt>
                <c:pt idx="7">
                  <c:v>60</c:v>
                </c:pt>
                <c:pt idx="8">
                  <c:v>70</c:v>
                </c:pt>
                <c:pt idx="9">
                  <c:v>80</c:v>
                </c:pt>
                <c:pt idx="10">
                  <c:v>100</c:v>
                </c:pt>
              </c:numCache>
            </c:numRef>
          </c:xVal>
          <c:yVal>
            <c:numRef>
              <c:f>AGG!$C$25:$C$35</c:f>
              <c:numCache>
                <c:formatCode>0.00</c:formatCode>
                <c:ptCount val="11"/>
                <c:pt idx="0">
                  <c:v>-0.38739511963964152</c:v>
                </c:pt>
                <c:pt idx="1">
                  <c:v>0.2503900064020026</c:v>
                </c:pt>
                <c:pt idx="2">
                  <c:v>0.72882431680733228</c:v>
                </c:pt>
                <c:pt idx="3">
                  <c:v>0.81432010678303213</c:v>
                </c:pt>
                <c:pt idx="4">
                  <c:v>0.88432437079377557</c:v>
                </c:pt>
                <c:pt idx="5">
                  <c:v>1</c:v>
                </c:pt>
                <c:pt idx="6">
                  <c:v>1</c:v>
                </c:pt>
                <c:pt idx="7">
                  <c:v>1</c:v>
                </c:pt>
                <c:pt idx="8">
                  <c:v>1</c:v>
                </c:pt>
                <c:pt idx="9">
                  <c:v>1</c:v>
                </c:pt>
                <c:pt idx="10">
                  <c:v>1</c:v>
                </c:pt>
              </c:numCache>
            </c:numRef>
          </c:yVal>
          <c:smooth val="1"/>
        </c:ser>
        <c:ser>
          <c:idx val="2"/>
          <c:order val="2"/>
          <c:tx>
            <c:strRef>
              <c:f>AGG!$D$24</c:f>
              <c:strCache>
                <c:ptCount val="1"/>
                <c:pt idx="0">
                  <c:v>clayey Orchept</c:v>
                </c:pt>
              </c:strCache>
            </c:strRef>
          </c:tx>
          <c:spPr>
            <a:ln w="12700">
              <a:solidFill>
                <a:schemeClr val="accent5">
                  <a:lumMod val="50000"/>
                </a:schemeClr>
              </a:solidFill>
              <a:prstDash val="solid"/>
            </a:ln>
          </c:spPr>
          <c:marker>
            <c:symbol val="triangle"/>
            <c:size val="5"/>
            <c:spPr>
              <a:solidFill>
                <a:schemeClr val="accent5">
                  <a:lumMod val="75000"/>
                </a:schemeClr>
              </a:solidFill>
              <a:ln>
                <a:solidFill>
                  <a:srgbClr val="FFFF00"/>
                </a:solidFill>
                <a:prstDash val="solid"/>
              </a:ln>
            </c:spPr>
          </c:marker>
          <c:xVal>
            <c:numRef>
              <c:f>AGG!$A$25:$A$35</c:f>
              <c:numCache>
                <c:formatCode>General</c:formatCode>
                <c:ptCount val="11"/>
                <c:pt idx="0">
                  <c:v>0</c:v>
                </c:pt>
                <c:pt idx="1">
                  <c:v>20</c:v>
                </c:pt>
                <c:pt idx="2">
                  <c:v>40</c:v>
                </c:pt>
                <c:pt idx="3">
                  <c:v>45</c:v>
                </c:pt>
                <c:pt idx="4">
                  <c:v>50</c:v>
                </c:pt>
                <c:pt idx="5">
                  <c:v>51</c:v>
                </c:pt>
                <c:pt idx="6">
                  <c:v>55</c:v>
                </c:pt>
                <c:pt idx="7">
                  <c:v>60</c:v>
                </c:pt>
                <c:pt idx="8">
                  <c:v>70</c:v>
                </c:pt>
                <c:pt idx="9">
                  <c:v>80</c:v>
                </c:pt>
                <c:pt idx="10">
                  <c:v>100</c:v>
                </c:pt>
              </c:numCache>
            </c:numRef>
          </c:xVal>
          <c:yVal>
            <c:numRef>
              <c:f>AGG!$D$25:$D$35</c:f>
              <c:numCache>
                <c:formatCode>0.00</c:formatCode>
                <c:ptCount val="11"/>
                <c:pt idx="0">
                  <c:v>-0.27530990329720706</c:v>
                </c:pt>
                <c:pt idx="1">
                  <c:v>0.34241489368661737</c:v>
                </c:pt>
                <c:pt idx="2">
                  <c:v>0.78682811687928322</c:v>
                </c:pt>
                <c:pt idx="3">
                  <c:v>0.86220567015025962</c:v>
                </c:pt>
                <c:pt idx="4">
                  <c:v>0.92163217245554829</c:v>
                </c:pt>
                <c:pt idx="5">
                  <c:v>1</c:v>
                </c:pt>
                <c:pt idx="6">
                  <c:v>1</c:v>
                </c:pt>
                <c:pt idx="7">
                  <c:v>1</c:v>
                </c:pt>
                <c:pt idx="8">
                  <c:v>1</c:v>
                </c:pt>
                <c:pt idx="9">
                  <c:v>1</c:v>
                </c:pt>
                <c:pt idx="10">
                  <c:v>1</c:v>
                </c:pt>
              </c:numCache>
            </c:numRef>
          </c:yVal>
          <c:smooth val="1"/>
        </c:ser>
        <c:ser>
          <c:idx val="3"/>
          <c:order val="3"/>
          <c:tx>
            <c:strRef>
              <c:f>AGG!$E$24</c:f>
              <c:strCache>
                <c:ptCount val="1"/>
                <c:pt idx="0">
                  <c:v>clayey Udult</c:v>
                </c:pt>
              </c:strCache>
            </c:strRef>
          </c:tx>
          <c:spPr>
            <a:ln w="12700">
              <a:solidFill>
                <a:srgbClr val="00FFFF"/>
              </a:solidFill>
              <a:prstDash val="solid"/>
            </a:ln>
          </c:spPr>
          <c:marker>
            <c:symbol val="x"/>
            <c:size val="5"/>
            <c:spPr>
              <a:noFill/>
              <a:ln>
                <a:solidFill>
                  <a:srgbClr val="00FFFF"/>
                </a:solidFill>
                <a:prstDash val="solid"/>
              </a:ln>
            </c:spPr>
          </c:marker>
          <c:xVal>
            <c:numRef>
              <c:f>AGG!$A$25:$A$35</c:f>
              <c:numCache>
                <c:formatCode>General</c:formatCode>
                <c:ptCount val="11"/>
                <c:pt idx="0">
                  <c:v>0</c:v>
                </c:pt>
                <c:pt idx="1">
                  <c:v>20</c:v>
                </c:pt>
                <c:pt idx="2">
                  <c:v>40</c:v>
                </c:pt>
                <c:pt idx="3">
                  <c:v>45</c:v>
                </c:pt>
                <c:pt idx="4">
                  <c:v>50</c:v>
                </c:pt>
                <c:pt idx="5">
                  <c:v>51</c:v>
                </c:pt>
                <c:pt idx="6">
                  <c:v>55</c:v>
                </c:pt>
                <c:pt idx="7">
                  <c:v>60</c:v>
                </c:pt>
                <c:pt idx="8">
                  <c:v>70</c:v>
                </c:pt>
                <c:pt idx="9">
                  <c:v>80</c:v>
                </c:pt>
                <c:pt idx="10">
                  <c:v>100</c:v>
                </c:pt>
              </c:numCache>
            </c:numRef>
          </c:xVal>
          <c:yVal>
            <c:numRef>
              <c:f>AGG!$E$25:$E$35</c:f>
              <c:numCache>
                <c:formatCode>0.00</c:formatCode>
                <c:ptCount val="11"/>
                <c:pt idx="0">
                  <c:v>-0.2111967394160017</c:v>
                </c:pt>
                <c:pt idx="1">
                  <c:v>0.39369326816998806</c:v>
                </c:pt>
                <c:pt idx="2">
                  <c:v>0.81749244783194785</c:v>
                </c:pt>
                <c:pt idx="3">
                  <c:v>0.88684772211368612</c:v>
                </c:pt>
                <c:pt idx="4">
                  <c:v>0.94001547251075546</c:v>
                </c:pt>
                <c:pt idx="5">
                  <c:v>1</c:v>
                </c:pt>
                <c:pt idx="6">
                  <c:v>1</c:v>
                </c:pt>
                <c:pt idx="7">
                  <c:v>1</c:v>
                </c:pt>
                <c:pt idx="8">
                  <c:v>1</c:v>
                </c:pt>
                <c:pt idx="9">
                  <c:v>1</c:v>
                </c:pt>
                <c:pt idx="10">
                  <c:v>1</c:v>
                </c:pt>
              </c:numCache>
            </c:numRef>
          </c:yVal>
          <c:smooth val="1"/>
        </c:ser>
        <c:dLbls>
          <c:showLegendKey val="0"/>
          <c:showVal val="0"/>
          <c:showCatName val="0"/>
          <c:showSerName val="0"/>
          <c:showPercent val="0"/>
          <c:showBubbleSize val="0"/>
        </c:dLbls>
        <c:axId val="343012704"/>
        <c:axId val="343009176"/>
      </c:scatterChart>
      <c:valAx>
        <c:axId val="343012704"/>
        <c:scaling>
          <c:orientation val="minMax"/>
          <c:max val="100"/>
        </c:scaling>
        <c:delete val="0"/>
        <c:axPos val="b"/>
        <c:title>
          <c:tx>
            <c:rich>
              <a:bodyPr/>
              <a:lstStyle/>
              <a:p>
                <a:pPr>
                  <a:defRPr sz="1150" b="0" i="0" u="none" strike="noStrike" baseline="0">
                    <a:solidFill>
                      <a:srgbClr val="000000"/>
                    </a:solidFill>
                    <a:latin typeface="Arial"/>
                    <a:ea typeface="Arial"/>
                    <a:cs typeface="Arial"/>
                  </a:defRPr>
                </a:pPr>
                <a:r>
                  <a:rPr lang="en-US"/>
                  <a:t>Aggregate stabililty (%)</a:t>
                </a:r>
              </a:p>
            </c:rich>
          </c:tx>
          <c:layout>
            <c:manualLayout>
              <c:xMode val="edge"/>
              <c:yMode val="edge"/>
              <c:x val="0.28409152036207486"/>
              <c:y val="0.9026860357733060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Arial"/>
                <a:ea typeface="Arial"/>
                <a:cs typeface="Arial"/>
              </a:defRPr>
            </a:pPr>
            <a:endParaRPr lang="en-US"/>
          </a:p>
        </c:txPr>
        <c:crossAx val="343009176"/>
        <c:crosses val="autoZero"/>
        <c:crossBetween val="midCat"/>
        <c:majorUnit val="20"/>
      </c:valAx>
      <c:valAx>
        <c:axId val="343009176"/>
        <c:scaling>
          <c:orientation val="minMax"/>
          <c:max val="1.1000000000000001"/>
          <c:min val="0"/>
        </c:scaling>
        <c:delete val="0"/>
        <c:axPos val="l"/>
        <c:majorGridlines>
          <c:spPr>
            <a:ln w="3175">
              <a:solidFill>
                <a:srgbClr val="FFFFFF"/>
              </a:solidFill>
              <a:prstDash val="solid"/>
            </a:ln>
          </c:spPr>
        </c:majorGridlines>
        <c:title>
          <c:tx>
            <c:rich>
              <a:bodyPr/>
              <a:lstStyle/>
              <a:p>
                <a:pPr>
                  <a:defRPr sz="1150" b="0" i="0" u="none" strike="noStrike" baseline="0">
                    <a:solidFill>
                      <a:srgbClr val="000000"/>
                    </a:solidFill>
                    <a:latin typeface="Arial"/>
                    <a:ea typeface="Arial"/>
                    <a:cs typeface="Arial"/>
                  </a:defRPr>
                </a:pPr>
                <a:r>
                  <a:rPr lang="en-US"/>
                  <a:t>AGG score</a:t>
                </a:r>
              </a:p>
            </c:rich>
          </c:tx>
          <c:layout>
            <c:manualLayout>
              <c:xMode val="edge"/>
              <c:yMode val="edge"/>
              <c:x val="1.3257684662208745E-2"/>
              <c:y val="0.30536943877385736"/>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Arial"/>
                <a:ea typeface="Arial"/>
                <a:cs typeface="Arial"/>
              </a:defRPr>
            </a:pPr>
            <a:endParaRPr lang="en-US"/>
          </a:p>
        </c:txPr>
        <c:crossAx val="343012704"/>
        <c:crosses val="autoZero"/>
        <c:crossBetween val="midCat"/>
      </c:valAx>
      <c:spPr>
        <a:solidFill>
          <a:srgbClr val="FFFFFF"/>
        </a:solidFill>
        <a:ln w="25400">
          <a:noFill/>
        </a:ln>
      </c:spPr>
    </c:plotArea>
    <c:legend>
      <c:legendPos val="r"/>
      <c:layout>
        <c:manualLayout>
          <c:xMode val="edge"/>
          <c:yMode val="edge"/>
          <c:x val="0.6942166019000271"/>
          <c:y val="0.10773508635494643"/>
          <c:w val="0.27768657893028426"/>
          <c:h val="0.3066305369236253"/>
        </c:manualLayout>
      </c:layout>
      <c:overlay val="0"/>
      <c:spPr>
        <a:solidFill>
          <a:srgbClr val="FFFFFF"/>
        </a:solidFill>
        <a:ln w="3175">
          <a:solidFill>
            <a:srgbClr val="000000"/>
          </a:solidFill>
          <a:prstDash val="solid"/>
        </a:ln>
      </c:spPr>
      <c:txPr>
        <a:bodyPr/>
        <a:lstStyle/>
        <a:p>
          <a:pPr>
            <a:defRPr sz="9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53991928658757"/>
          <c:y val="6.1971980153726465E-2"/>
          <c:w val="0.47079146420321771"/>
          <c:h val="0.75211448641113465"/>
        </c:manualLayout>
      </c:layout>
      <c:scatterChart>
        <c:scatterStyle val="smoothMarker"/>
        <c:varyColors val="0"/>
        <c:ser>
          <c:idx val="0"/>
          <c:order val="0"/>
          <c:tx>
            <c:strRef>
              <c:f>AWC!$B$34</c:f>
              <c:strCache>
                <c:ptCount val="1"/>
                <c:pt idx="0">
                  <c:v>sandy Aridisol</c:v>
                </c:pt>
              </c:strCache>
            </c:strRef>
          </c:tx>
          <c:spPr>
            <a:ln w="12700">
              <a:solidFill>
                <a:srgbClr val="000080"/>
              </a:solidFill>
              <a:prstDash val="solid"/>
            </a:ln>
          </c:spPr>
          <c:marker>
            <c:symbol val="square"/>
            <c:size val="3"/>
            <c:spPr>
              <a:solidFill>
                <a:srgbClr val="000080"/>
              </a:solidFill>
              <a:ln>
                <a:solidFill>
                  <a:srgbClr val="000080"/>
                </a:solidFill>
                <a:prstDash val="solid"/>
              </a:ln>
            </c:spPr>
          </c:marker>
          <c:xVal>
            <c:numRef>
              <c:f>AWC!$A$35:$A$43</c:f>
              <c:numCache>
                <c:formatCode>General</c:formatCode>
                <c:ptCount val="9"/>
                <c:pt idx="0">
                  <c:v>0</c:v>
                </c:pt>
                <c:pt idx="1">
                  <c:v>0.03</c:v>
                </c:pt>
                <c:pt idx="2">
                  <c:v>0.06</c:v>
                </c:pt>
                <c:pt idx="3">
                  <c:v>0.09</c:v>
                </c:pt>
                <c:pt idx="4">
                  <c:v>0.12</c:v>
                </c:pt>
                <c:pt idx="5">
                  <c:v>0.15</c:v>
                </c:pt>
                <c:pt idx="6">
                  <c:v>0.18</c:v>
                </c:pt>
                <c:pt idx="7">
                  <c:v>0.21</c:v>
                </c:pt>
                <c:pt idx="8">
                  <c:v>0.24</c:v>
                </c:pt>
              </c:numCache>
            </c:numRef>
          </c:xVal>
          <c:yVal>
            <c:numRef>
              <c:f>AWC!$B$35:$B$43</c:f>
              <c:numCache>
                <c:formatCode>0.00</c:formatCode>
                <c:ptCount val="9"/>
                <c:pt idx="0">
                  <c:v>1.14E-2</c:v>
                </c:pt>
                <c:pt idx="1">
                  <c:v>0.16987172702787887</c:v>
                </c:pt>
                <c:pt idx="2">
                  <c:v>0.48424703345721115</c:v>
                </c:pt>
                <c:pt idx="3">
                  <c:v>0.71635304123701216</c:v>
                </c:pt>
                <c:pt idx="4">
                  <c:v>0.85152232156980923</c:v>
                </c:pt>
                <c:pt idx="5">
                  <c:v>0.92919582724492988</c:v>
                </c:pt>
                <c:pt idx="6">
                  <c:v>0.97585410517615545</c:v>
                </c:pt>
                <c:pt idx="7">
                  <c:v>1.0053957091373267</c:v>
                </c:pt>
                <c:pt idx="8">
                  <c:v>1.0250224543881836</c:v>
                </c:pt>
              </c:numCache>
            </c:numRef>
          </c:yVal>
          <c:smooth val="1"/>
        </c:ser>
        <c:ser>
          <c:idx val="1"/>
          <c:order val="1"/>
          <c:tx>
            <c:strRef>
              <c:f>AWC!$C$34</c:f>
              <c:strCache>
                <c:ptCount val="1"/>
                <c:pt idx="0">
                  <c:v>clayey Aridisol</c:v>
                </c:pt>
              </c:strCache>
            </c:strRef>
          </c:tx>
          <c:spPr>
            <a:ln w="12700">
              <a:solidFill>
                <a:srgbClr val="FF00FF"/>
              </a:solidFill>
              <a:prstDash val="solid"/>
            </a:ln>
          </c:spPr>
          <c:marker>
            <c:symbol val="circle"/>
            <c:size val="3"/>
            <c:spPr>
              <a:solidFill>
                <a:srgbClr val="FF00FF"/>
              </a:solidFill>
              <a:ln>
                <a:solidFill>
                  <a:srgbClr val="FF00FF"/>
                </a:solidFill>
                <a:prstDash val="solid"/>
              </a:ln>
            </c:spPr>
          </c:marker>
          <c:xVal>
            <c:numRef>
              <c:f>AWC!$A$35:$A$43</c:f>
              <c:numCache>
                <c:formatCode>General</c:formatCode>
                <c:ptCount val="9"/>
                <c:pt idx="0">
                  <c:v>0</c:v>
                </c:pt>
                <c:pt idx="1">
                  <c:v>0.03</c:v>
                </c:pt>
                <c:pt idx="2">
                  <c:v>0.06</c:v>
                </c:pt>
                <c:pt idx="3">
                  <c:v>0.09</c:v>
                </c:pt>
                <c:pt idx="4">
                  <c:v>0.12</c:v>
                </c:pt>
                <c:pt idx="5">
                  <c:v>0.15</c:v>
                </c:pt>
                <c:pt idx="6">
                  <c:v>0.18</c:v>
                </c:pt>
                <c:pt idx="7">
                  <c:v>0.21</c:v>
                </c:pt>
                <c:pt idx="8">
                  <c:v>0.24</c:v>
                </c:pt>
              </c:numCache>
            </c:numRef>
          </c:xVal>
          <c:yVal>
            <c:numRef>
              <c:f>AWC!$C$35:$C$43</c:f>
              <c:numCache>
                <c:formatCode>0.00</c:formatCode>
                <c:ptCount val="9"/>
                <c:pt idx="0">
                  <c:v>1.14E-2</c:v>
                </c:pt>
                <c:pt idx="1">
                  <c:v>8.7669040372542986E-2</c:v>
                </c:pt>
                <c:pt idx="2">
                  <c:v>0.28812997755693093</c:v>
                </c:pt>
                <c:pt idx="3">
                  <c:v>0.50225222822366111</c:v>
                </c:pt>
                <c:pt idx="4">
                  <c:v>0.66903967604643388</c:v>
                </c:pt>
                <c:pt idx="5">
                  <c:v>0.78507184291517096</c:v>
                </c:pt>
                <c:pt idx="6">
                  <c:v>0.86376415995315037</c:v>
                </c:pt>
                <c:pt idx="7">
                  <c:v>0.9176520894842054</c:v>
                </c:pt>
                <c:pt idx="8">
                  <c:v>0.95537872541299784</c:v>
                </c:pt>
              </c:numCache>
            </c:numRef>
          </c:yVal>
          <c:smooth val="1"/>
        </c:ser>
        <c:ser>
          <c:idx val="2"/>
          <c:order val="2"/>
          <c:tx>
            <c:strRef>
              <c:f>AWC!$D$34</c:f>
              <c:strCache>
                <c:ptCount val="1"/>
                <c:pt idx="0">
                  <c:v>clayey Xeroll</c:v>
                </c:pt>
              </c:strCache>
            </c:strRef>
          </c:tx>
          <c:spPr>
            <a:ln w="12700">
              <a:solidFill>
                <a:srgbClr val="808000"/>
              </a:solidFill>
              <a:prstDash val="solid"/>
            </a:ln>
          </c:spPr>
          <c:marker>
            <c:symbol val="diamond"/>
            <c:size val="3"/>
            <c:spPr>
              <a:solidFill>
                <a:srgbClr val="FFFF00"/>
              </a:solidFill>
              <a:ln>
                <a:solidFill>
                  <a:srgbClr val="808000"/>
                </a:solidFill>
                <a:prstDash val="solid"/>
              </a:ln>
            </c:spPr>
          </c:marker>
          <c:xVal>
            <c:numRef>
              <c:f>AWC!$A$35:$A$43</c:f>
              <c:numCache>
                <c:formatCode>General</c:formatCode>
                <c:ptCount val="9"/>
                <c:pt idx="0">
                  <c:v>0</c:v>
                </c:pt>
                <c:pt idx="1">
                  <c:v>0.03</c:v>
                </c:pt>
                <c:pt idx="2">
                  <c:v>0.06</c:v>
                </c:pt>
                <c:pt idx="3">
                  <c:v>0.09</c:v>
                </c:pt>
                <c:pt idx="4">
                  <c:v>0.12</c:v>
                </c:pt>
                <c:pt idx="5">
                  <c:v>0.15</c:v>
                </c:pt>
                <c:pt idx="6">
                  <c:v>0.18</c:v>
                </c:pt>
                <c:pt idx="7">
                  <c:v>0.21</c:v>
                </c:pt>
                <c:pt idx="8">
                  <c:v>0.24</c:v>
                </c:pt>
              </c:numCache>
            </c:numRef>
          </c:xVal>
          <c:yVal>
            <c:numRef>
              <c:f>AWC!$D$35:$D$43</c:f>
              <c:numCache>
                <c:formatCode>0.00</c:formatCode>
                <c:ptCount val="9"/>
                <c:pt idx="0">
                  <c:v>1.14E-2</c:v>
                </c:pt>
                <c:pt idx="1">
                  <c:v>8.4283080902232452E-2</c:v>
                </c:pt>
                <c:pt idx="2">
                  <c:v>0.27821865305818272</c:v>
                </c:pt>
                <c:pt idx="3">
                  <c:v>0.48925429115778446</c:v>
                </c:pt>
                <c:pt idx="4">
                  <c:v>0.65649035004340084</c:v>
                </c:pt>
                <c:pt idx="5">
                  <c:v>0.77434177702198814</c:v>
                </c:pt>
                <c:pt idx="6">
                  <c:v>0.85498336352326476</c:v>
                </c:pt>
                <c:pt idx="7">
                  <c:v>0.91054354185987474</c:v>
                </c:pt>
                <c:pt idx="8">
                  <c:v>0.94960541986295977</c:v>
                </c:pt>
              </c:numCache>
            </c:numRef>
          </c:yVal>
          <c:smooth val="1"/>
        </c:ser>
        <c:ser>
          <c:idx val="3"/>
          <c:order val="3"/>
          <c:tx>
            <c:strRef>
              <c:f>AWC!$E$34</c:f>
              <c:strCache>
                <c:ptCount val="1"/>
                <c:pt idx="0">
                  <c:v>clayey Udoll</c:v>
                </c:pt>
              </c:strCache>
            </c:strRef>
          </c:tx>
          <c:spPr>
            <a:ln w="12700">
              <a:solidFill>
                <a:srgbClr val="00FFFF"/>
              </a:solidFill>
              <a:prstDash val="lgDashDot"/>
            </a:ln>
          </c:spPr>
          <c:marker>
            <c:symbol val="triangle"/>
            <c:size val="3"/>
            <c:spPr>
              <a:solidFill>
                <a:srgbClr val="00FFFF"/>
              </a:solidFill>
              <a:ln>
                <a:solidFill>
                  <a:srgbClr val="00FFFF"/>
                </a:solidFill>
                <a:prstDash val="solid"/>
              </a:ln>
            </c:spPr>
          </c:marker>
          <c:xVal>
            <c:numRef>
              <c:f>AWC!$A$35:$A$43</c:f>
              <c:numCache>
                <c:formatCode>General</c:formatCode>
                <c:ptCount val="9"/>
                <c:pt idx="0">
                  <c:v>0</c:v>
                </c:pt>
                <c:pt idx="1">
                  <c:v>0.03</c:v>
                </c:pt>
                <c:pt idx="2">
                  <c:v>0.06</c:v>
                </c:pt>
                <c:pt idx="3">
                  <c:v>0.09</c:v>
                </c:pt>
                <c:pt idx="4">
                  <c:v>0.12</c:v>
                </c:pt>
                <c:pt idx="5">
                  <c:v>0.15</c:v>
                </c:pt>
                <c:pt idx="6">
                  <c:v>0.18</c:v>
                </c:pt>
                <c:pt idx="7">
                  <c:v>0.21</c:v>
                </c:pt>
                <c:pt idx="8">
                  <c:v>0.24</c:v>
                </c:pt>
              </c:numCache>
            </c:numRef>
          </c:xVal>
          <c:yVal>
            <c:numRef>
              <c:f>AWC!$E$35:$E$43</c:f>
              <c:numCache>
                <c:formatCode>0.00</c:formatCode>
                <c:ptCount val="9"/>
                <c:pt idx="0">
                  <c:v>0.15220955745402309</c:v>
                </c:pt>
                <c:pt idx="1">
                  <c:v>0.24402985234413979</c:v>
                </c:pt>
                <c:pt idx="2">
                  <c:v>0.34574146889604507</c:v>
                </c:pt>
                <c:pt idx="3">
                  <c:v>0.45302969390065206</c:v>
                </c:pt>
                <c:pt idx="4">
                  <c:v>0.56134324858273321</c:v>
                </c:pt>
                <c:pt idx="5">
                  <c:v>0.66608735860919732</c:v>
                </c:pt>
                <c:pt idx="6">
                  <c:v>0.76281866922444896</c:v>
                </c:pt>
                <c:pt idx="7">
                  <c:v>0.84743373700881908</c:v>
                </c:pt>
                <c:pt idx="8">
                  <c:v>0.9163431022424271</c:v>
                </c:pt>
              </c:numCache>
            </c:numRef>
          </c:yVal>
          <c:smooth val="1"/>
        </c:ser>
        <c:dLbls>
          <c:showLegendKey val="0"/>
          <c:showVal val="0"/>
          <c:showCatName val="0"/>
          <c:showSerName val="0"/>
          <c:showPercent val="0"/>
          <c:showBubbleSize val="0"/>
        </c:dLbls>
        <c:axId val="400823328"/>
        <c:axId val="400820976"/>
      </c:scatterChart>
      <c:valAx>
        <c:axId val="400823328"/>
        <c:scaling>
          <c:orientation val="minMax"/>
        </c:scaling>
        <c:delete val="0"/>
        <c:axPos val="b"/>
        <c:title>
          <c:tx>
            <c:rich>
              <a:bodyPr/>
              <a:lstStyle/>
              <a:p>
                <a:pPr>
                  <a:defRPr sz="1075" b="1" i="0" u="none" strike="noStrike" baseline="0">
                    <a:solidFill>
                      <a:srgbClr val="000000"/>
                    </a:solidFill>
                    <a:latin typeface="Arial"/>
                    <a:ea typeface="Arial"/>
                    <a:cs typeface="Arial"/>
                  </a:defRPr>
                </a:pPr>
                <a:r>
                  <a:rPr lang="en-US"/>
                  <a:t>AWC (g/g)</a:t>
                </a:r>
              </a:p>
            </c:rich>
          </c:tx>
          <c:layout>
            <c:manualLayout>
              <c:xMode val="edge"/>
              <c:yMode val="edge"/>
              <c:x val="0.32874060845487135"/>
              <c:y val="0.90508631843554754"/>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400820976"/>
        <c:crosses val="autoZero"/>
        <c:crossBetween val="midCat"/>
      </c:valAx>
      <c:valAx>
        <c:axId val="400820976"/>
        <c:scaling>
          <c:orientation val="minMax"/>
        </c:scaling>
        <c:delete val="0"/>
        <c:axPos val="l"/>
        <c:majorGridlines>
          <c:spPr>
            <a:ln w="3175">
              <a:solidFill>
                <a:srgbClr val="FFFFFF"/>
              </a:solidFill>
              <a:prstDash val="solid"/>
            </a:ln>
          </c:spPr>
        </c:majorGridlines>
        <c:title>
          <c:tx>
            <c:rich>
              <a:bodyPr/>
              <a:lstStyle/>
              <a:p>
                <a:pPr>
                  <a:defRPr sz="1075" b="1" i="0" u="none" strike="noStrike" baseline="0">
                    <a:solidFill>
                      <a:srgbClr val="000000"/>
                    </a:solidFill>
                    <a:latin typeface="Arial"/>
                    <a:ea typeface="Arial"/>
                    <a:cs typeface="Arial"/>
                  </a:defRPr>
                </a:pPr>
                <a:r>
                  <a:rPr lang="en-US"/>
                  <a:t>score</a:t>
                </a:r>
              </a:p>
            </c:rich>
          </c:tx>
          <c:layout>
            <c:manualLayout>
              <c:xMode val="edge"/>
              <c:yMode val="edge"/>
              <c:x val="2.7559055118110253E-2"/>
              <c:y val="0.3694920705334368"/>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400823328"/>
        <c:crosses val="autoZero"/>
        <c:crossBetween val="midCat"/>
      </c:valAx>
      <c:spPr>
        <a:solidFill>
          <a:srgbClr val="FFFFFF"/>
        </a:solidFill>
        <a:ln w="25400">
          <a:noFill/>
        </a:ln>
      </c:spPr>
    </c:plotArea>
    <c:legend>
      <c:legendPos val="r"/>
      <c:layout>
        <c:manualLayout>
          <c:xMode val="edge"/>
          <c:yMode val="edge"/>
          <c:x val="0.68900501483706289"/>
          <c:y val="0.25915566892166647"/>
          <c:w val="0.30068796168520223"/>
          <c:h val="0.31267679568223034"/>
        </c:manualLayout>
      </c:layout>
      <c:overlay val="0"/>
      <c:spPr>
        <a:solidFill>
          <a:srgbClr val="FFFFFF"/>
        </a:solidFill>
        <a:ln w="3175">
          <a:solidFill>
            <a:srgbClr val="000000"/>
          </a:solidFill>
          <a:prstDash val="solid"/>
        </a:ln>
      </c:spPr>
      <c:txPr>
        <a:bodyPr/>
        <a:lstStyle/>
        <a:p>
          <a:pPr>
            <a:defRPr sz="8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771937864899396"/>
          <c:y val="7.943932030735508E-2"/>
          <c:w val="0.54736865549986968"/>
          <c:h val="0.7523370923225986"/>
        </c:manualLayout>
      </c:layout>
      <c:scatterChart>
        <c:scatterStyle val="smoothMarker"/>
        <c:varyColors val="0"/>
        <c:ser>
          <c:idx val="0"/>
          <c:order val="0"/>
          <c:tx>
            <c:strRef>
              <c:f>BD!$B$29</c:f>
              <c:strCache>
                <c:ptCount val="1"/>
                <c:pt idx="0">
                  <c:v>sand</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xVal>
            <c:numRef>
              <c:f>BD!$A$30:$A$40</c:f>
              <c:numCache>
                <c:formatCode>General</c:formatCode>
                <c:ptCount val="11"/>
                <c:pt idx="0">
                  <c:v>0.6</c:v>
                </c:pt>
                <c:pt idx="1">
                  <c:v>0.7</c:v>
                </c:pt>
                <c:pt idx="2">
                  <c:v>0.8</c:v>
                </c:pt>
                <c:pt idx="3">
                  <c:v>0.9</c:v>
                </c:pt>
                <c:pt idx="4">
                  <c:v>1</c:v>
                </c:pt>
                <c:pt idx="5">
                  <c:v>1.1000000000000001</c:v>
                </c:pt>
                <c:pt idx="6">
                  <c:v>1.2</c:v>
                </c:pt>
                <c:pt idx="7">
                  <c:v>1.3</c:v>
                </c:pt>
                <c:pt idx="8">
                  <c:v>1.4</c:v>
                </c:pt>
                <c:pt idx="9">
                  <c:v>1.5</c:v>
                </c:pt>
                <c:pt idx="10">
                  <c:v>1.6</c:v>
                </c:pt>
              </c:numCache>
            </c:numRef>
          </c:xVal>
          <c:yVal>
            <c:numRef>
              <c:f>BD!$B$30:$B$40</c:f>
              <c:numCache>
                <c:formatCode>0.00</c:formatCode>
                <c:ptCount val="11"/>
                <c:pt idx="0">
                  <c:v>0.99399999999999999</c:v>
                </c:pt>
                <c:pt idx="1">
                  <c:v>0.99399999999999999</c:v>
                </c:pt>
                <c:pt idx="2">
                  <c:v>0.99399999999999999</c:v>
                </c:pt>
                <c:pt idx="3">
                  <c:v>0.99399999999999999</c:v>
                </c:pt>
                <c:pt idx="4">
                  <c:v>0.99399999999999999</c:v>
                </c:pt>
                <c:pt idx="5">
                  <c:v>0.99399999999999999</c:v>
                </c:pt>
                <c:pt idx="6">
                  <c:v>0.99399999999993216</c:v>
                </c:pt>
                <c:pt idx="7">
                  <c:v>0.99398099332054612</c:v>
                </c:pt>
                <c:pt idx="8">
                  <c:v>0.98036883728366797</c:v>
                </c:pt>
                <c:pt idx="9">
                  <c:v>0.84308241219433799</c:v>
                </c:pt>
                <c:pt idx="10">
                  <c:v>0.60728739131659715</c:v>
                </c:pt>
              </c:numCache>
            </c:numRef>
          </c:yVal>
          <c:smooth val="1"/>
        </c:ser>
        <c:ser>
          <c:idx val="1"/>
          <c:order val="1"/>
          <c:tx>
            <c:strRef>
              <c:f>BD!$C$29</c:f>
              <c:strCache>
                <c:ptCount val="1"/>
                <c:pt idx="0">
                  <c:v>silt</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xVal>
            <c:numRef>
              <c:f>BD!$A$30:$A$40</c:f>
              <c:numCache>
                <c:formatCode>General</c:formatCode>
                <c:ptCount val="11"/>
                <c:pt idx="0">
                  <c:v>0.6</c:v>
                </c:pt>
                <c:pt idx="1">
                  <c:v>0.7</c:v>
                </c:pt>
                <c:pt idx="2">
                  <c:v>0.8</c:v>
                </c:pt>
                <c:pt idx="3">
                  <c:v>0.9</c:v>
                </c:pt>
                <c:pt idx="4">
                  <c:v>1</c:v>
                </c:pt>
                <c:pt idx="5">
                  <c:v>1.1000000000000001</c:v>
                </c:pt>
                <c:pt idx="6">
                  <c:v>1.2</c:v>
                </c:pt>
                <c:pt idx="7">
                  <c:v>1.3</c:v>
                </c:pt>
                <c:pt idx="8">
                  <c:v>1.4</c:v>
                </c:pt>
                <c:pt idx="9">
                  <c:v>1.5</c:v>
                </c:pt>
                <c:pt idx="10">
                  <c:v>1.6</c:v>
                </c:pt>
              </c:numCache>
            </c:numRef>
          </c:xVal>
          <c:yVal>
            <c:numRef>
              <c:f>BD!$C$30:$C$40</c:f>
              <c:numCache>
                <c:formatCode>0.00</c:formatCode>
                <c:ptCount val="11"/>
                <c:pt idx="0">
                  <c:v>0.99399999999999999</c:v>
                </c:pt>
                <c:pt idx="1">
                  <c:v>0.99399999999999999</c:v>
                </c:pt>
                <c:pt idx="2">
                  <c:v>0.99399999999999999</c:v>
                </c:pt>
                <c:pt idx="3">
                  <c:v>0.99399999999999999</c:v>
                </c:pt>
                <c:pt idx="4">
                  <c:v>0.99399999999999167</c:v>
                </c:pt>
                <c:pt idx="5">
                  <c:v>0.9939862616540287</c:v>
                </c:pt>
                <c:pt idx="6">
                  <c:v>0.9808595205683448</c:v>
                </c:pt>
                <c:pt idx="7">
                  <c:v>0.84286991879872086</c:v>
                </c:pt>
                <c:pt idx="8">
                  <c:v>0.60626683063868314</c:v>
                </c:pt>
                <c:pt idx="9">
                  <c:v>0.42168913742411029</c:v>
                </c:pt>
                <c:pt idx="10">
                  <c:v>0.31510614021599259</c:v>
                </c:pt>
              </c:numCache>
            </c:numRef>
          </c:yVal>
          <c:smooth val="1"/>
        </c:ser>
        <c:ser>
          <c:idx val="2"/>
          <c:order val="2"/>
          <c:tx>
            <c:strRef>
              <c:f>BD!$D$29</c:f>
              <c:strCache>
                <c:ptCount val="1"/>
                <c:pt idx="0">
                  <c:v>clay (other)</c:v>
                </c:pt>
              </c:strCache>
            </c:strRef>
          </c:tx>
          <c:spPr>
            <a:ln w="12700">
              <a:solidFill>
                <a:schemeClr val="accent6">
                  <a:lumMod val="50000"/>
                </a:schemeClr>
              </a:solidFill>
              <a:prstDash val="solid"/>
            </a:ln>
          </c:spPr>
          <c:marker>
            <c:symbol val="triangle"/>
            <c:size val="5"/>
            <c:spPr>
              <a:solidFill>
                <a:schemeClr val="accent6">
                  <a:lumMod val="50000"/>
                </a:schemeClr>
              </a:solidFill>
              <a:ln>
                <a:solidFill>
                  <a:srgbClr val="FFFF00"/>
                </a:solidFill>
                <a:prstDash val="solid"/>
              </a:ln>
            </c:spPr>
          </c:marker>
          <c:xVal>
            <c:numRef>
              <c:f>BD!$A$30:$A$40</c:f>
              <c:numCache>
                <c:formatCode>General</c:formatCode>
                <c:ptCount val="11"/>
                <c:pt idx="0">
                  <c:v>0.6</c:v>
                </c:pt>
                <c:pt idx="1">
                  <c:v>0.7</c:v>
                </c:pt>
                <c:pt idx="2">
                  <c:v>0.8</c:v>
                </c:pt>
                <c:pt idx="3">
                  <c:v>0.9</c:v>
                </c:pt>
                <c:pt idx="4">
                  <c:v>1</c:v>
                </c:pt>
                <c:pt idx="5">
                  <c:v>1.1000000000000001</c:v>
                </c:pt>
                <c:pt idx="6">
                  <c:v>1.2</c:v>
                </c:pt>
                <c:pt idx="7">
                  <c:v>1.3</c:v>
                </c:pt>
                <c:pt idx="8">
                  <c:v>1.4</c:v>
                </c:pt>
                <c:pt idx="9">
                  <c:v>1.5</c:v>
                </c:pt>
                <c:pt idx="10">
                  <c:v>1.6</c:v>
                </c:pt>
              </c:numCache>
            </c:numRef>
          </c:xVal>
          <c:yVal>
            <c:numRef>
              <c:f>BD!$D$30:$D$40</c:f>
              <c:numCache>
                <c:formatCode>0.00</c:formatCode>
                <c:ptCount val="11"/>
                <c:pt idx="0">
                  <c:v>0.99399999999999999</c:v>
                </c:pt>
                <c:pt idx="1">
                  <c:v>0.99399999999999999</c:v>
                </c:pt>
                <c:pt idx="2">
                  <c:v>0.99399999999999999</c:v>
                </c:pt>
                <c:pt idx="3">
                  <c:v>0.99399999999920108</c:v>
                </c:pt>
                <c:pt idx="4">
                  <c:v>0.9939311175779868</c:v>
                </c:pt>
                <c:pt idx="5">
                  <c:v>0.9702236888585315</c:v>
                </c:pt>
                <c:pt idx="6">
                  <c:v>0.80420804076541896</c:v>
                </c:pt>
                <c:pt idx="7">
                  <c:v>0.56910639062592816</c:v>
                </c:pt>
                <c:pt idx="8">
                  <c:v>0.39905949630621673</c:v>
                </c:pt>
                <c:pt idx="9">
                  <c:v>0.30294374703893312</c:v>
                </c:pt>
                <c:pt idx="10">
                  <c:v>0.25256870746724092</c:v>
                </c:pt>
              </c:numCache>
            </c:numRef>
          </c:yVal>
          <c:smooth val="1"/>
        </c:ser>
        <c:ser>
          <c:idx val="3"/>
          <c:order val="3"/>
          <c:tx>
            <c:strRef>
              <c:f>BD!$E$29</c:f>
              <c:strCache>
                <c:ptCount val="1"/>
                <c:pt idx="0">
                  <c:v>glassy clay </c:v>
                </c:pt>
              </c:strCache>
            </c:strRef>
          </c:tx>
          <c:spPr>
            <a:ln w="12700">
              <a:solidFill>
                <a:srgbClr val="00FFFF"/>
              </a:solidFill>
              <a:prstDash val="solid"/>
            </a:ln>
          </c:spPr>
          <c:marker>
            <c:symbol val="x"/>
            <c:size val="5"/>
            <c:spPr>
              <a:noFill/>
              <a:ln>
                <a:solidFill>
                  <a:srgbClr val="00FFFF"/>
                </a:solidFill>
                <a:prstDash val="solid"/>
              </a:ln>
            </c:spPr>
          </c:marker>
          <c:xVal>
            <c:numRef>
              <c:f>BD!$A$30:$A$40</c:f>
              <c:numCache>
                <c:formatCode>General</c:formatCode>
                <c:ptCount val="11"/>
                <c:pt idx="0">
                  <c:v>0.6</c:v>
                </c:pt>
                <c:pt idx="1">
                  <c:v>0.7</c:v>
                </c:pt>
                <c:pt idx="2">
                  <c:v>0.8</c:v>
                </c:pt>
                <c:pt idx="3">
                  <c:v>0.9</c:v>
                </c:pt>
                <c:pt idx="4">
                  <c:v>1</c:v>
                </c:pt>
                <c:pt idx="5">
                  <c:v>1.1000000000000001</c:v>
                </c:pt>
                <c:pt idx="6">
                  <c:v>1.2</c:v>
                </c:pt>
                <c:pt idx="7">
                  <c:v>1.3</c:v>
                </c:pt>
                <c:pt idx="8">
                  <c:v>1.4</c:v>
                </c:pt>
                <c:pt idx="9">
                  <c:v>1.5</c:v>
                </c:pt>
                <c:pt idx="10">
                  <c:v>1.6</c:v>
                </c:pt>
              </c:numCache>
            </c:numRef>
          </c:xVal>
          <c:yVal>
            <c:numRef>
              <c:f>BD!$E$30:$E$40</c:f>
              <c:numCache>
                <c:formatCode>0.00</c:formatCode>
                <c:ptCount val="11"/>
                <c:pt idx="0">
                  <c:v>0.99399999999999999</c:v>
                </c:pt>
                <c:pt idx="1">
                  <c:v>0.99399999999999999</c:v>
                </c:pt>
                <c:pt idx="2">
                  <c:v>0.9939999909038888</c:v>
                </c:pt>
                <c:pt idx="3">
                  <c:v>0.99229239552526471</c:v>
                </c:pt>
                <c:pt idx="4">
                  <c:v>0.9153610748290083</c:v>
                </c:pt>
                <c:pt idx="5">
                  <c:v>0.68792657295239024</c:v>
                </c:pt>
                <c:pt idx="6">
                  <c:v>0.47363080926205459</c:v>
                </c:pt>
                <c:pt idx="7">
                  <c:v>0.3427143199384457</c:v>
                </c:pt>
                <c:pt idx="8">
                  <c:v>0.27315918804915673</c:v>
                </c:pt>
                <c:pt idx="9">
                  <c:v>0.23727099590632084</c:v>
                </c:pt>
                <c:pt idx="10">
                  <c:v>0.21854346332377406</c:v>
                </c:pt>
              </c:numCache>
            </c:numRef>
          </c:yVal>
          <c:smooth val="1"/>
        </c:ser>
        <c:ser>
          <c:idx val="4"/>
          <c:order val="4"/>
          <c:tx>
            <c:strRef>
              <c:f>BD!$F$29</c:f>
              <c:strCache>
                <c:ptCount val="1"/>
                <c:pt idx="0">
                  <c:v>smect clay</c:v>
                </c:pt>
              </c:strCache>
            </c:strRef>
          </c:tx>
          <c:spPr>
            <a:ln w="12700">
              <a:solidFill>
                <a:srgbClr val="800080"/>
              </a:solidFill>
              <a:prstDash val="solid"/>
            </a:ln>
          </c:spPr>
          <c:marker>
            <c:symbol val="star"/>
            <c:size val="5"/>
            <c:spPr>
              <a:noFill/>
              <a:ln>
                <a:solidFill>
                  <a:srgbClr val="800080"/>
                </a:solidFill>
                <a:prstDash val="solid"/>
              </a:ln>
            </c:spPr>
          </c:marker>
          <c:xVal>
            <c:numRef>
              <c:f>BD!$A$30:$A$40</c:f>
              <c:numCache>
                <c:formatCode>General</c:formatCode>
                <c:ptCount val="11"/>
                <c:pt idx="0">
                  <c:v>0.6</c:v>
                </c:pt>
                <c:pt idx="1">
                  <c:v>0.7</c:v>
                </c:pt>
                <c:pt idx="2">
                  <c:v>0.8</c:v>
                </c:pt>
                <c:pt idx="3">
                  <c:v>0.9</c:v>
                </c:pt>
                <c:pt idx="4">
                  <c:v>1</c:v>
                </c:pt>
                <c:pt idx="5">
                  <c:v>1.1000000000000001</c:v>
                </c:pt>
                <c:pt idx="6">
                  <c:v>1.2</c:v>
                </c:pt>
                <c:pt idx="7">
                  <c:v>1.3</c:v>
                </c:pt>
                <c:pt idx="8">
                  <c:v>1.4</c:v>
                </c:pt>
                <c:pt idx="9">
                  <c:v>1.5</c:v>
                </c:pt>
                <c:pt idx="10">
                  <c:v>1.6</c:v>
                </c:pt>
              </c:numCache>
            </c:numRef>
          </c:xVal>
          <c:yVal>
            <c:numRef>
              <c:f>BD!$F$30:$F$40</c:f>
              <c:numCache>
                <c:formatCode>0.00</c:formatCode>
                <c:ptCount val="11"/>
                <c:pt idx="0">
                  <c:v>0.99399999999999999</c:v>
                </c:pt>
                <c:pt idx="1">
                  <c:v>0.99399999999999999</c:v>
                </c:pt>
                <c:pt idx="2">
                  <c:v>0.99399999999999999</c:v>
                </c:pt>
                <c:pt idx="3">
                  <c:v>0.99399969323787474</c:v>
                </c:pt>
                <c:pt idx="4">
                  <c:v>0.9897333540455362</c:v>
                </c:pt>
                <c:pt idx="5">
                  <c:v>0.89075415417174153</c:v>
                </c:pt>
                <c:pt idx="6">
                  <c:v>0.65871396477925237</c:v>
                </c:pt>
                <c:pt idx="7">
                  <c:v>0.4555702844369881</c:v>
                </c:pt>
                <c:pt idx="8">
                  <c:v>0.33339585190636101</c:v>
                </c:pt>
                <c:pt idx="9">
                  <c:v>0.26842494376745463</c:v>
                </c:pt>
                <c:pt idx="10">
                  <c:v>0.23476155980669333</c:v>
                </c:pt>
              </c:numCache>
            </c:numRef>
          </c:yVal>
          <c:smooth val="1"/>
        </c:ser>
        <c:dLbls>
          <c:showLegendKey val="0"/>
          <c:showVal val="0"/>
          <c:showCatName val="0"/>
          <c:showSerName val="0"/>
          <c:showPercent val="0"/>
          <c:showBubbleSize val="0"/>
        </c:dLbls>
        <c:axId val="400821760"/>
        <c:axId val="400824896"/>
      </c:scatterChart>
      <c:valAx>
        <c:axId val="400821760"/>
        <c:scaling>
          <c:orientation val="minMax"/>
          <c:max val="1.6"/>
          <c:min val="0.8"/>
        </c:scaling>
        <c:delete val="0"/>
        <c:axPos val="b"/>
        <c:title>
          <c:tx>
            <c:rich>
              <a:bodyPr/>
              <a:lstStyle/>
              <a:p>
                <a:pPr>
                  <a:defRPr sz="1050" b="1" i="0" u="none" strike="noStrike" baseline="0">
                    <a:solidFill>
                      <a:srgbClr val="000000"/>
                    </a:solidFill>
                    <a:latin typeface="Arial"/>
                    <a:ea typeface="Arial"/>
                    <a:cs typeface="Arial"/>
                  </a:defRPr>
                </a:pPr>
                <a:r>
                  <a:rPr lang="en-US"/>
                  <a:t>BD (g/cm3)</a:t>
                </a:r>
              </a:p>
            </c:rich>
          </c:tx>
          <c:layout>
            <c:manualLayout>
              <c:xMode val="edge"/>
              <c:yMode val="edge"/>
              <c:x val="0.37274600543353126"/>
              <c:y val="0.9164179973998575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400824896"/>
        <c:crosses val="autoZero"/>
        <c:crossBetween val="midCat"/>
        <c:majorUnit val="0.4"/>
      </c:valAx>
      <c:valAx>
        <c:axId val="400824896"/>
        <c:scaling>
          <c:orientation val="minMax"/>
        </c:scaling>
        <c:delete val="0"/>
        <c:axPos val="l"/>
        <c:majorGridlines>
          <c:spPr>
            <a:ln w="3175">
              <a:solidFill>
                <a:srgbClr val="FFFFFF"/>
              </a:solidFill>
              <a:prstDash val="solid"/>
            </a:ln>
          </c:spPr>
        </c:majorGridlines>
        <c:title>
          <c:tx>
            <c:rich>
              <a:bodyPr/>
              <a:lstStyle/>
              <a:p>
                <a:pPr>
                  <a:defRPr sz="1050" b="1" i="0" u="none" strike="noStrike" baseline="0">
                    <a:solidFill>
                      <a:srgbClr val="000000"/>
                    </a:solidFill>
                    <a:latin typeface="Arial"/>
                    <a:ea typeface="Arial"/>
                    <a:cs typeface="Arial"/>
                  </a:defRPr>
                </a:pPr>
                <a:r>
                  <a:rPr lang="en-US"/>
                  <a:t>Score</a:t>
                </a:r>
              </a:p>
            </c:rich>
          </c:tx>
          <c:layout>
            <c:manualLayout>
              <c:xMode val="edge"/>
              <c:yMode val="edge"/>
              <c:x val="3.807616153244002E-2"/>
              <c:y val="0.39402979125272941"/>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400821760"/>
        <c:crosses val="autoZero"/>
        <c:crossBetween val="midCat"/>
      </c:valAx>
      <c:spPr>
        <a:solidFill>
          <a:srgbClr val="FFFFFF"/>
        </a:solidFill>
        <a:ln w="25400">
          <a:noFill/>
        </a:ln>
      </c:spPr>
    </c:plotArea>
    <c:legend>
      <c:legendPos val="r"/>
      <c:layout>
        <c:manualLayout>
          <c:xMode val="edge"/>
          <c:yMode val="edge"/>
          <c:x val="0.7403511074273611"/>
          <c:y val="0.2546732038168128"/>
          <c:w val="0.24912280701754386"/>
          <c:h val="0.32476666176073815"/>
        </c:manualLayout>
      </c:layout>
      <c:overlay val="0"/>
      <c:spPr>
        <a:solidFill>
          <a:srgbClr val="FFFFFF"/>
        </a:solidFill>
        <a:ln w="3175">
          <a:solidFill>
            <a:srgbClr val="000000"/>
          </a:solidFill>
          <a:prstDash val="solid"/>
        </a:ln>
      </c:spPr>
      <c:txPr>
        <a:bodyPr/>
        <a:lstStyle/>
        <a:p>
          <a:pPr>
            <a:defRPr sz="8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393442622950818"/>
          <c:y val="8.9552422360503217E-2"/>
          <c:w val="0.60070257611241262"/>
          <c:h val="0.72761343167908821"/>
        </c:manualLayout>
      </c:layout>
      <c:scatterChart>
        <c:scatterStyle val="smoothMarker"/>
        <c:varyColors val="0"/>
        <c:ser>
          <c:idx val="0"/>
          <c:order val="0"/>
          <c:tx>
            <c:strRef>
              <c:f>BG!$B$25</c:f>
              <c:strCache>
                <c:ptCount val="1"/>
                <c:pt idx="0">
                  <c:v>Sabana Seca</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xVal>
            <c:numRef>
              <c:f>BG!$A$26:$A$51</c:f>
              <c:numCache>
                <c:formatCode>General</c:formatCode>
                <c:ptCount val="26"/>
                <c:pt idx="0" formatCode="0">
                  <c:v>1</c:v>
                </c:pt>
                <c:pt idx="1">
                  <c:v>20</c:v>
                </c:pt>
                <c:pt idx="2">
                  <c:v>40</c:v>
                </c:pt>
                <c:pt idx="3">
                  <c:v>60</c:v>
                </c:pt>
                <c:pt idx="4">
                  <c:v>80</c:v>
                </c:pt>
                <c:pt idx="5">
                  <c:v>100</c:v>
                </c:pt>
                <c:pt idx="6">
                  <c:v>125</c:v>
                </c:pt>
                <c:pt idx="7">
                  <c:v>150</c:v>
                </c:pt>
                <c:pt idx="8">
                  <c:v>200</c:v>
                </c:pt>
                <c:pt idx="9">
                  <c:v>250</c:v>
                </c:pt>
                <c:pt idx="10">
                  <c:v>300</c:v>
                </c:pt>
                <c:pt idx="11">
                  <c:v>350</c:v>
                </c:pt>
                <c:pt idx="12">
                  <c:v>400</c:v>
                </c:pt>
                <c:pt idx="13">
                  <c:v>450</c:v>
                </c:pt>
                <c:pt idx="14">
                  <c:v>500</c:v>
                </c:pt>
                <c:pt idx="15">
                  <c:v>550</c:v>
                </c:pt>
                <c:pt idx="16">
                  <c:v>600</c:v>
                </c:pt>
                <c:pt idx="17">
                  <c:v>650</c:v>
                </c:pt>
                <c:pt idx="18">
                  <c:v>700</c:v>
                </c:pt>
                <c:pt idx="19">
                  <c:v>750</c:v>
                </c:pt>
                <c:pt idx="20">
                  <c:v>800</c:v>
                </c:pt>
                <c:pt idx="21">
                  <c:v>850</c:v>
                </c:pt>
                <c:pt idx="22">
                  <c:v>900</c:v>
                </c:pt>
                <c:pt idx="23">
                  <c:v>950</c:v>
                </c:pt>
                <c:pt idx="24">
                  <c:v>1000</c:v>
                </c:pt>
                <c:pt idx="25" formatCode="0">
                  <c:v>1250</c:v>
                </c:pt>
              </c:numCache>
            </c:numRef>
          </c:xVal>
          <c:yVal>
            <c:numRef>
              <c:f>BG!$B$26:$B$51</c:f>
              <c:numCache>
                <c:formatCode>0.00</c:formatCode>
                <c:ptCount val="26"/>
                <c:pt idx="0">
                  <c:v>2.0518124838417796E-2</c:v>
                </c:pt>
                <c:pt idx="1">
                  <c:v>2.1950136364733502E-2</c:v>
                </c:pt>
                <c:pt idx="2">
                  <c:v>2.356304516176061E-2</c:v>
                </c:pt>
                <c:pt idx="3">
                  <c:v>2.5291437705159722E-2</c:v>
                </c:pt>
                <c:pt idx="4">
                  <c:v>2.7143122468060967E-2</c:v>
                </c:pt>
                <c:pt idx="5">
                  <c:v>2.9126366339899998E-2</c:v>
                </c:pt>
                <c:pt idx="6">
                  <c:v>3.1803789840981575E-2</c:v>
                </c:pt>
                <c:pt idx="7">
                  <c:v>3.4718622281492299E-2</c:v>
                </c:pt>
                <c:pt idx="8">
                  <c:v>4.1339338088900682E-2</c:v>
                </c:pt>
                <c:pt idx="9">
                  <c:v>4.9158961939513066E-2</c:v>
                </c:pt>
                <c:pt idx="10">
                  <c:v>5.8368593797346324E-2</c:v>
                </c:pt>
                <c:pt idx="11">
                  <c:v>6.917936964804218E-2</c:v>
                </c:pt>
                <c:pt idx="12">
                  <c:v>8.1820312292320119E-2</c:v>
                </c:pt>
                <c:pt idx="13">
                  <c:v>9.6534092896947282E-2</c:v>
                </c:pt>
                <c:pt idx="14">
                  <c:v>0.11357010160022581</c:v>
                </c:pt>
                <c:pt idx="15">
                  <c:v>0.13317425567635691</c:v>
                </c:pt>
                <c:pt idx="16">
                  <c:v>0.15557512949211405</c:v>
                </c:pt>
                <c:pt idx="17">
                  <c:v>0.18096632464133344</c:v>
                </c:pt>
                <c:pt idx="18">
                  <c:v>0.20948555108469127</c:v>
                </c:pt>
                <c:pt idx="19">
                  <c:v>0.24119166088286401</c:v>
                </c:pt>
                <c:pt idx="20">
                  <c:v>0.27604179228025993</c:v>
                </c:pt>
                <c:pt idx="21">
                  <c:v>0.31387167079977019</c:v>
                </c:pt>
                <c:pt idx="22">
                  <c:v>0.35438270418657236</c:v>
                </c:pt>
                <c:pt idx="23">
                  <c:v>0.39713948135489335</c:v>
                </c:pt>
                <c:pt idx="24">
                  <c:v>0.44158038875321654</c:v>
                </c:pt>
                <c:pt idx="25">
                  <c:v>0.66454726820451238</c:v>
                </c:pt>
              </c:numCache>
            </c:numRef>
          </c:yVal>
          <c:smooth val="1"/>
        </c:ser>
        <c:ser>
          <c:idx val="1"/>
          <c:order val="1"/>
          <c:tx>
            <c:strRef>
              <c:f>BG!$C$25</c:f>
              <c:strCache>
                <c:ptCount val="1"/>
                <c:pt idx="0">
                  <c:v>Doty</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xVal>
            <c:numRef>
              <c:f>BG!$A$26:$A$51</c:f>
              <c:numCache>
                <c:formatCode>General</c:formatCode>
                <c:ptCount val="26"/>
                <c:pt idx="0" formatCode="0">
                  <c:v>1</c:v>
                </c:pt>
                <c:pt idx="1">
                  <c:v>20</c:v>
                </c:pt>
                <c:pt idx="2">
                  <c:v>40</c:v>
                </c:pt>
                <c:pt idx="3">
                  <c:v>60</c:v>
                </c:pt>
                <c:pt idx="4">
                  <c:v>80</c:v>
                </c:pt>
                <c:pt idx="5">
                  <c:v>100</c:v>
                </c:pt>
                <c:pt idx="6">
                  <c:v>125</c:v>
                </c:pt>
                <c:pt idx="7">
                  <c:v>150</c:v>
                </c:pt>
                <c:pt idx="8">
                  <c:v>200</c:v>
                </c:pt>
                <c:pt idx="9">
                  <c:v>250</c:v>
                </c:pt>
                <c:pt idx="10">
                  <c:v>300</c:v>
                </c:pt>
                <c:pt idx="11">
                  <c:v>350</c:v>
                </c:pt>
                <c:pt idx="12">
                  <c:v>400</c:v>
                </c:pt>
                <c:pt idx="13">
                  <c:v>450</c:v>
                </c:pt>
                <c:pt idx="14">
                  <c:v>500</c:v>
                </c:pt>
                <c:pt idx="15">
                  <c:v>550</c:v>
                </c:pt>
                <c:pt idx="16">
                  <c:v>600</c:v>
                </c:pt>
                <c:pt idx="17">
                  <c:v>650</c:v>
                </c:pt>
                <c:pt idx="18">
                  <c:v>700</c:v>
                </c:pt>
                <c:pt idx="19">
                  <c:v>750</c:v>
                </c:pt>
                <c:pt idx="20">
                  <c:v>800</c:v>
                </c:pt>
                <c:pt idx="21">
                  <c:v>850</c:v>
                </c:pt>
                <c:pt idx="22">
                  <c:v>900</c:v>
                </c:pt>
                <c:pt idx="23">
                  <c:v>950</c:v>
                </c:pt>
                <c:pt idx="24">
                  <c:v>1000</c:v>
                </c:pt>
                <c:pt idx="25" formatCode="0">
                  <c:v>1250</c:v>
                </c:pt>
              </c:numCache>
            </c:numRef>
          </c:xVal>
          <c:yVal>
            <c:numRef>
              <c:f>BG!$C$26:$C$51</c:f>
              <c:numCache>
                <c:formatCode>0.00</c:formatCode>
                <c:ptCount val="26"/>
                <c:pt idx="0">
                  <c:v>2.061424794183192E-2</c:v>
                </c:pt>
                <c:pt idx="1">
                  <c:v>2.4095372498037653E-2</c:v>
                </c:pt>
                <c:pt idx="2">
                  <c:v>2.8378339098649532E-2</c:v>
                </c:pt>
                <c:pt idx="3">
                  <c:v>3.3396817036371894E-2</c:v>
                </c:pt>
                <c:pt idx="4">
                  <c:v>3.9267270638037817E-2</c:v>
                </c:pt>
                <c:pt idx="5">
                  <c:v>4.6120893334577757E-2</c:v>
                </c:pt>
                <c:pt idx="6">
                  <c:v>5.6294939631055439E-2</c:v>
                </c:pt>
                <c:pt idx="7">
                  <c:v>6.8553707434966582E-2</c:v>
                </c:pt>
                <c:pt idx="8">
                  <c:v>0.1007570811035462</c:v>
                </c:pt>
                <c:pt idx="9">
                  <c:v>0.14574618866292688</c:v>
                </c:pt>
                <c:pt idx="10">
                  <c:v>0.20626632122200703</c:v>
                </c:pt>
                <c:pt idx="11">
                  <c:v>0.28366858273890494</c:v>
                </c:pt>
                <c:pt idx="12">
                  <c:v>0.37650995118280445</c:v>
                </c:pt>
                <c:pt idx="13">
                  <c:v>0.47967032065072224</c:v>
                </c:pt>
                <c:pt idx="14">
                  <c:v>0.58499446327630944</c:v>
                </c:pt>
                <c:pt idx="15">
                  <c:v>0.68363332636545937</c:v>
                </c:pt>
                <c:pt idx="16">
                  <c:v>0.76881758710527115</c:v>
                </c:pt>
                <c:pt idx="17">
                  <c:v>0.83738212717412674</c:v>
                </c:pt>
                <c:pt idx="18">
                  <c:v>0.88950959664215556</c:v>
                </c:pt>
                <c:pt idx="19">
                  <c:v>0.92744738263511883</c:v>
                </c:pt>
                <c:pt idx="20">
                  <c:v>0.95418949583283696</c:v>
                </c:pt>
                <c:pt idx="21">
                  <c:v>0.97261793111798778</c:v>
                </c:pt>
                <c:pt idx="22">
                  <c:v>0.98512002409688137</c:v>
                </c:pt>
                <c:pt idx="23">
                  <c:v>0.99351178736055012</c:v>
                </c:pt>
                <c:pt idx="24">
                  <c:v>0.99910439942443374</c:v>
                </c:pt>
                <c:pt idx="25">
                  <c:v>1.0086523393801279</c:v>
                </c:pt>
              </c:numCache>
            </c:numRef>
          </c:yVal>
          <c:smooth val="1"/>
        </c:ser>
        <c:ser>
          <c:idx val="2"/>
          <c:order val="2"/>
          <c:tx>
            <c:strRef>
              <c:f>BG!$D$25</c:f>
              <c:strCache>
                <c:ptCount val="1"/>
                <c:pt idx="0">
                  <c:v>Walla Walla</c:v>
                </c:pt>
              </c:strCache>
            </c:strRef>
          </c:tx>
          <c:spPr>
            <a:ln w="12700">
              <a:solidFill>
                <a:schemeClr val="accent3">
                  <a:lumMod val="50000"/>
                </a:schemeClr>
              </a:solidFill>
              <a:prstDash val="solid"/>
            </a:ln>
          </c:spPr>
          <c:marker>
            <c:symbol val="triangle"/>
            <c:size val="5"/>
            <c:spPr>
              <a:solidFill>
                <a:schemeClr val="accent3">
                  <a:lumMod val="50000"/>
                </a:schemeClr>
              </a:solidFill>
              <a:ln w="12700">
                <a:solidFill>
                  <a:schemeClr val="accent3">
                    <a:lumMod val="50000"/>
                  </a:schemeClr>
                </a:solidFill>
                <a:prstDash val="solid"/>
              </a:ln>
            </c:spPr>
          </c:marker>
          <c:xVal>
            <c:numRef>
              <c:f>BG!$A$26:$A$51</c:f>
              <c:numCache>
                <c:formatCode>General</c:formatCode>
                <c:ptCount val="26"/>
                <c:pt idx="0" formatCode="0">
                  <c:v>1</c:v>
                </c:pt>
                <c:pt idx="1">
                  <c:v>20</c:v>
                </c:pt>
                <c:pt idx="2">
                  <c:v>40</c:v>
                </c:pt>
                <c:pt idx="3">
                  <c:v>60</c:v>
                </c:pt>
                <c:pt idx="4">
                  <c:v>80</c:v>
                </c:pt>
                <c:pt idx="5">
                  <c:v>100</c:v>
                </c:pt>
                <c:pt idx="6">
                  <c:v>125</c:v>
                </c:pt>
                <c:pt idx="7">
                  <c:v>150</c:v>
                </c:pt>
                <c:pt idx="8">
                  <c:v>200</c:v>
                </c:pt>
                <c:pt idx="9">
                  <c:v>250</c:v>
                </c:pt>
                <c:pt idx="10">
                  <c:v>300</c:v>
                </c:pt>
                <c:pt idx="11">
                  <c:v>350</c:v>
                </c:pt>
                <c:pt idx="12">
                  <c:v>400</c:v>
                </c:pt>
                <c:pt idx="13">
                  <c:v>450</c:v>
                </c:pt>
                <c:pt idx="14">
                  <c:v>500</c:v>
                </c:pt>
                <c:pt idx="15">
                  <c:v>550</c:v>
                </c:pt>
                <c:pt idx="16">
                  <c:v>600</c:v>
                </c:pt>
                <c:pt idx="17">
                  <c:v>650</c:v>
                </c:pt>
                <c:pt idx="18">
                  <c:v>700</c:v>
                </c:pt>
                <c:pt idx="19">
                  <c:v>750</c:v>
                </c:pt>
                <c:pt idx="20">
                  <c:v>800</c:v>
                </c:pt>
                <c:pt idx="21">
                  <c:v>850</c:v>
                </c:pt>
                <c:pt idx="22">
                  <c:v>900</c:v>
                </c:pt>
                <c:pt idx="23">
                  <c:v>950</c:v>
                </c:pt>
                <c:pt idx="24">
                  <c:v>1000</c:v>
                </c:pt>
                <c:pt idx="25" formatCode="0">
                  <c:v>1250</c:v>
                </c:pt>
              </c:numCache>
            </c:numRef>
          </c:xVal>
          <c:yVal>
            <c:numRef>
              <c:f>BG!$D$26:$D$51</c:f>
              <c:numCache>
                <c:formatCode>0.00</c:formatCode>
                <c:ptCount val="26"/>
                <c:pt idx="0">
                  <c:v>2.0642911928355039E-2</c:v>
                </c:pt>
                <c:pt idx="1">
                  <c:v>2.4771741192350014E-2</c:v>
                </c:pt>
                <c:pt idx="2">
                  <c:v>2.9985896346055085E-2</c:v>
                </c:pt>
                <c:pt idx="3">
                  <c:v>3.6257179273839563E-2</c:v>
                </c:pt>
                <c:pt idx="4">
                  <c:v>4.3781451065711754E-2</c:v>
                </c:pt>
                <c:pt idx="5">
                  <c:v>5.2782556439960479E-2</c:v>
                </c:pt>
                <c:pt idx="6">
                  <c:v>6.6497335248509079E-2</c:v>
                </c:pt>
                <c:pt idx="7">
                  <c:v>8.3464971330081142E-2</c:v>
                </c:pt>
                <c:pt idx="8">
                  <c:v>0.1295687954306341</c:v>
                </c:pt>
                <c:pt idx="9">
                  <c:v>0.19575856859712165</c:v>
                </c:pt>
                <c:pt idx="10">
                  <c:v>0.28482259397406173</c:v>
                </c:pt>
                <c:pt idx="11">
                  <c:v>0.39476231728094874</c:v>
                </c:pt>
                <c:pt idx="12">
                  <c:v>0.51689059891363653</c:v>
                </c:pt>
                <c:pt idx="13">
                  <c:v>0.63764292763541242</c:v>
                </c:pt>
                <c:pt idx="14">
                  <c:v>0.74404025685506414</c:v>
                </c:pt>
                <c:pt idx="15">
                  <c:v>0.82868067525545575</c:v>
                </c:pt>
                <c:pt idx="16">
                  <c:v>0.89070356072719892</c:v>
                </c:pt>
                <c:pt idx="17">
                  <c:v>0.93346994212437728</c:v>
                </c:pt>
                <c:pt idx="18">
                  <c:v>0.96173582272664726</c:v>
                </c:pt>
                <c:pt idx="19">
                  <c:v>0.97989853492272683</c:v>
                </c:pt>
                <c:pt idx="20">
                  <c:v>0.99135876054794048</c:v>
                </c:pt>
                <c:pt idx="21">
                  <c:v>0.99850702473912523</c:v>
                </c:pt>
                <c:pt idx="22">
                  <c:v>1.002933717591717</c:v>
                </c:pt>
                <c:pt idx="23">
                  <c:v>1.0056628088931836</c:v>
                </c:pt>
                <c:pt idx="24">
                  <c:v>1.0073406839518733</c:v>
                </c:pt>
                <c:pt idx="25">
                  <c:v>1.0097709113935582</c:v>
                </c:pt>
              </c:numCache>
            </c:numRef>
          </c:yVal>
          <c:smooth val="1"/>
        </c:ser>
        <c:ser>
          <c:idx val="3"/>
          <c:order val="3"/>
          <c:tx>
            <c:strRef>
              <c:f>BG!$H$25</c:f>
              <c:strCache>
                <c:ptCount val="1"/>
                <c:pt idx="0">
                  <c:v>Memphis&amp;Chickasaw</c:v>
                </c:pt>
              </c:strCache>
            </c:strRef>
          </c:tx>
          <c:spPr>
            <a:ln w="25400">
              <a:solidFill>
                <a:schemeClr val="tx2">
                  <a:lumMod val="60000"/>
                  <a:lumOff val="40000"/>
                </a:schemeClr>
              </a:solidFill>
              <a:prstDash val="solid"/>
            </a:ln>
          </c:spPr>
          <c:marker>
            <c:symbol val="x"/>
            <c:size val="5"/>
            <c:spPr>
              <a:noFill/>
              <a:ln w="12700">
                <a:solidFill>
                  <a:schemeClr val="tx2">
                    <a:lumMod val="60000"/>
                    <a:lumOff val="40000"/>
                  </a:schemeClr>
                </a:solidFill>
                <a:prstDash val="solid"/>
              </a:ln>
            </c:spPr>
          </c:marker>
          <c:xVal>
            <c:numRef>
              <c:f>BG!$A$26:$A$51</c:f>
              <c:numCache>
                <c:formatCode>General</c:formatCode>
                <c:ptCount val="26"/>
                <c:pt idx="0" formatCode="0">
                  <c:v>1</c:v>
                </c:pt>
                <c:pt idx="1">
                  <c:v>20</c:v>
                </c:pt>
                <c:pt idx="2">
                  <c:v>40</c:v>
                </c:pt>
                <c:pt idx="3">
                  <c:v>60</c:v>
                </c:pt>
                <c:pt idx="4">
                  <c:v>80</c:v>
                </c:pt>
                <c:pt idx="5">
                  <c:v>100</c:v>
                </c:pt>
                <c:pt idx="6">
                  <c:v>125</c:v>
                </c:pt>
                <c:pt idx="7">
                  <c:v>150</c:v>
                </c:pt>
                <c:pt idx="8">
                  <c:v>200</c:v>
                </c:pt>
                <c:pt idx="9">
                  <c:v>250</c:v>
                </c:pt>
                <c:pt idx="10">
                  <c:v>300</c:v>
                </c:pt>
                <c:pt idx="11">
                  <c:v>350</c:v>
                </c:pt>
                <c:pt idx="12">
                  <c:v>400</c:v>
                </c:pt>
                <c:pt idx="13">
                  <c:v>450</c:v>
                </c:pt>
                <c:pt idx="14">
                  <c:v>500</c:v>
                </c:pt>
                <c:pt idx="15">
                  <c:v>550</c:v>
                </c:pt>
                <c:pt idx="16">
                  <c:v>600</c:v>
                </c:pt>
                <c:pt idx="17">
                  <c:v>650</c:v>
                </c:pt>
                <c:pt idx="18">
                  <c:v>700</c:v>
                </c:pt>
                <c:pt idx="19">
                  <c:v>750</c:v>
                </c:pt>
                <c:pt idx="20">
                  <c:v>800</c:v>
                </c:pt>
                <c:pt idx="21">
                  <c:v>850</c:v>
                </c:pt>
                <c:pt idx="22">
                  <c:v>900</c:v>
                </c:pt>
                <c:pt idx="23">
                  <c:v>950</c:v>
                </c:pt>
                <c:pt idx="24">
                  <c:v>1000</c:v>
                </c:pt>
                <c:pt idx="25" formatCode="0">
                  <c:v>1250</c:v>
                </c:pt>
              </c:numCache>
            </c:numRef>
          </c:xVal>
          <c:yVal>
            <c:numRef>
              <c:f>BG!$H$26:$H$51</c:f>
              <c:numCache>
                <c:formatCode>0.00</c:formatCode>
                <c:ptCount val="26"/>
                <c:pt idx="0">
                  <c:v>2.0870556637923383E-2</c:v>
                </c:pt>
                <c:pt idx="1">
                  <c:v>3.0800042045637899E-2</c:v>
                </c:pt>
                <c:pt idx="2">
                  <c:v>4.6154356148657823E-2</c:v>
                </c:pt>
                <c:pt idx="3">
                  <c:v>6.862659004596329E-2</c:v>
                </c:pt>
                <c:pt idx="4">
                  <c:v>0.10089503752673991</c:v>
                </c:pt>
                <c:pt idx="5">
                  <c:v>0.14598330649317376</c:v>
                </c:pt>
                <c:pt idx="6">
                  <c:v>0.22444674085391136</c:v>
                </c:pt>
                <c:pt idx="7">
                  <c:v>0.32902323533944622</c:v>
                </c:pt>
                <c:pt idx="8">
                  <c:v>0.58592960482711653</c:v>
                </c:pt>
                <c:pt idx="9">
                  <c:v>0.80600593183499958</c:v>
                </c:pt>
                <c:pt idx="10">
                  <c:v>0.9278784431695164</c:v>
                </c:pt>
                <c:pt idx="11">
                  <c:v>0.97967946354071467</c:v>
                </c:pt>
                <c:pt idx="12">
                  <c:v>0.99918600887665832</c:v>
                </c:pt>
                <c:pt idx="13">
                  <c:v>1.0061919093911331</c:v>
                </c:pt>
                <c:pt idx="14">
                  <c:v>1.008665064693413</c:v>
                </c:pt>
                <c:pt idx="15">
                  <c:v>1.0095327810448573</c:v>
                </c:pt>
                <c:pt idx="16">
                  <c:v>1.0098365676937942</c:v>
                </c:pt>
                <c:pt idx="17">
                  <c:v>1.0099428428718371</c:v>
                </c:pt>
                <c:pt idx="18">
                  <c:v>1.0099800118237332</c:v>
                </c:pt>
                <c:pt idx="19">
                  <c:v>1.0099930101871502</c:v>
                </c:pt>
                <c:pt idx="20">
                  <c:v>1.0099975557012244</c:v>
                </c:pt>
                <c:pt idx="21">
                  <c:v>1.0099991452447803</c:v>
                </c:pt>
                <c:pt idx="22">
                  <c:v>1.0099997010980224</c:v>
                </c:pt>
                <c:pt idx="23">
                  <c:v>1.0099998954760869</c:v>
                </c:pt>
                <c:pt idx="24">
                  <c:v>1.0099999634487296</c:v>
                </c:pt>
                <c:pt idx="25">
                  <c:v>1.0099999998088667</c:v>
                </c:pt>
              </c:numCache>
            </c:numRef>
          </c:yVal>
          <c:smooth val="1"/>
        </c:ser>
        <c:ser>
          <c:idx val="4"/>
          <c:order val="4"/>
          <c:tx>
            <c:strRef>
              <c:f>BG!$I$25</c:f>
              <c:strCache>
                <c:ptCount val="1"/>
                <c:pt idx="0">
                  <c:v>Lawai</c:v>
                </c:pt>
              </c:strCache>
            </c:strRef>
          </c:tx>
          <c:spPr>
            <a:ln w="12700">
              <a:solidFill>
                <a:srgbClr val="800080"/>
              </a:solidFill>
              <a:prstDash val="solid"/>
            </a:ln>
          </c:spPr>
          <c:marker>
            <c:symbol val="star"/>
            <c:size val="5"/>
            <c:spPr>
              <a:noFill/>
              <a:ln>
                <a:solidFill>
                  <a:srgbClr val="800080"/>
                </a:solidFill>
                <a:prstDash val="solid"/>
              </a:ln>
            </c:spPr>
          </c:marker>
          <c:xVal>
            <c:numRef>
              <c:f>BG!$A$26:$A$51</c:f>
              <c:numCache>
                <c:formatCode>General</c:formatCode>
                <c:ptCount val="26"/>
                <c:pt idx="0" formatCode="0">
                  <c:v>1</c:v>
                </c:pt>
                <c:pt idx="1">
                  <c:v>20</c:v>
                </c:pt>
                <c:pt idx="2">
                  <c:v>40</c:v>
                </c:pt>
                <c:pt idx="3">
                  <c:v>60</c:v>
                </c:pt>
                <c:pt idx="4">
                  <c:v>80</c:v>
                </c:pt>
                <c:pt idx="5">
                  <c:v>100</c:v>
                </c:pt>
                <c:pt idx="6">
                  <c:v>125</c:v>
                </c:pt>
                <c:pt idx="7">
                  <c:v>150</c:v>
                </c:pt>
                <c:pt idx="8">
                  <c:v>200</c:v>
                </c:pt>
                <c:pt idx="9">
                  <c:v>250</c:v>
                </c:pt>
                <c:pt idx="10">
                  <c:v>300</c:v>
                </c:pt>
                <c:pt idx="11">
                  <c:v>350</c:v>
                </c:pt>
                <c:pt idx="12">
                  <c:v>400</c:v>
                </c:pt>
                <c:pt idx="13">
                  <c:v>450</c:v>
                </c:pt>
                <c:pt idx="14">
                  <c:v>500</c:v>
                </c:pt>
                <c:pt idx="15">
                  <c:v>550</c:v>
                </c:pt>
                <c:pt idx="16">
                  <c:v>600</c:v>
                </c:pt>
                <c:pt idx="17">
                  <c:v>650</c:v>
                </c:pt>
                <c:pt idx="18">
                  <c:v>700</c:v>
                </c:pt>
                <c:pt idx="19">
                  <c:v>750</c:v>
                </c:pt>
                <c:pt idx="20">
                  <c:v>800</c:v>
                </c:pt>
                <c:pt idx="21">
                  <c:v>850</c:v>
                </c:pt>
                <c:pt idx="22">
                  <c:v>900</c:v>
                </c:pt>
                <c:pt idx="23">
                  <c:v>950</c:v>
                </c:pt>
                <c:pt idx="24">
                  <c:v>1000</c:v>
                </c:pt>
                <c:pt idx="25" formatCode="0">
                  <c:v>1250</c:v>
                </c:pt>
              </c:numCache>
            </c:numRef>
          </c:xVal>
          <c:yVal>
            <c:numRef>
              <c:f>BG!$I$26:$I$51</c:f>
              <c:numCache>
                <c:formatCode>0.00</c:formatCode>
                <c:ptCount val="26"/>
                <c:pt idx="0">
                  <c:v>2.1085839881043483E-2</c:v>
                </c:pt>
                <c:pt idx="1">
                  <c:v>3.7713956717650952E-2</c:v>
                </c:pt>
                <c:pt idx="2">
                  <c:v>6.8557541572020944E-2</c:v>
                </c:pt>
                <c:pt idx="3">
                  <c:v>0.12147441122832618</c:v>
                </c:pt>
                <c:pt idx="4">
                  <c:v>0.20628601893369033</c:v>
                </c:pt>
                <c:pt idx="5">
                  <c:v>0.32842455260915188</c:v>
                </c:pt>
                <c:pt idx="6">
                  <c:v>0.51945172502230053</c:v>
                </c:pt>
                <c:pt idx="7">
                  <c:v>0.70642751479279509</c:v>
                </c:pt>
                <c:pt idx="8">
                  <c:v>0.92747012132890971</c:v>
                </c:pt>
                <c:pt idx="9">
                  <c:v>0.99172658514911827</c:v>
                </c:pt>
                <c:pt idx="10">
                  <c:v>1.0061610563127723</c:v>
                </c:pt>
                <c:pt idx="11">
                  <c:v>1.0092026681601485</c:v>
                </c:pt>
                <c:pt idx="12">
                  <c:v>1.0098347933493879</c:v>
                </c:pt>
                <c:pt idx="13">
                  <c:v>1.0099657862767915</c:v>
                </c:pt>
                <c:pt idx="14">
                  <c:v>1.0099929151855205</c:v>
                </c:pt>
                <c:pt idx="15">
                  <c:v>1.0099985329416845</c:v>
                </c:pt>
                <c:pt idx="16">
                  <c:v>1.0099996962163773</c:v>
                </c:pt>
                <c:pt idx="17">
                  <c:v>1.0099999370956123</c:v>
                </c:pt>
                <c:pt idx="18">
                  <c:v>1.0099999869744087</c:v>
                </c:pt>
                <c:pt idx="19">
                  <c:v>1.0099999973027951</c:v>
                </c:pt>
                <c:pt idx="20">
                  <c:v>1.0099999994414908</c:v>
                </c:pt>
                <c:pt idx="21">
                  <c:v>1.0099999998843496</c:v>
                </c:pt>
                <c:pt idx="22">
                  <c:v>1.0099999999760523</c:v>
                </c:pt>
                <c:pt idx="23">
                  <c:v>1.0099999999950411</c:v>
                </c:pt>
                <c:pt idx="24">
                  <c:v>1.0099999999989731</c:v>
                </c:pt>
                <c:pt idx="25">
                  <c:v>1.0099999999999996</c:v>
                </c:pt>
              </c:numCache>
            </c:numRef>
          </c:yVal>
          <c:smooth val="1"/>
        </c:ser>
        <c:ser>
          <c:idx val="5"/>
          <c:order val="5"/>
          <c:tx>
            <c:strRef>
              <c:f>BG!$E$25</c:f>
              <c:strCache>
                <c:ptCount val="1"/>
                <c:pt idx="0">
                  <c:v>Tippecanoe</c:v>
                </c:pt>
              </c:strCache>
            </c:strRef>
          </c:tx>
          <c:spPr>
            <a:ln w="12700">
              <a:solidFill>
                <a:schemeClr val="accent5">
                  <a:lumMod val="50000"/>
                </a:schemeClr>
              </a:solidFill>
            </a:ln>
          </c:spPr>
          <c:marker>
            <c:symbol val="circle"/>
            <c:size val="4"/>
            <c:spPr>
              <a:solidFill>
                <a:schemeClr val="accent5">
                  <a:lumMod val="50000"/>
                </a:schemeClr>
              </a:solidFill>
              <a:ln w="9525">
                <a:solidFill>
                  <a:schemeClr val="accent5">
                    <a:lumMod val="50000"/>
                  </a:schemeClr>
                </a:solidFill>
              </a:ln>
            </c:spPr>
          </c:marker>
          <c:xVal>
            <c:numRef>
              <c:f>BG!$A$26:$A$51</c:f>
              <c:numCache>
                <c:formatCode>General</c:formatCode>
                <c:ptCount val="26"/>
                <c:pt idx="0" formatCode="0">
                  <c:v>1</c:v>
                </c:pt>
                <c:pt idx="1">
                  <c:v>20</c:v>
                </c:pt>
                <c:pt idx="2">
                  <c:v>40</c:v>
                </c:pt>
                <c:pt idx="3">
                  <c:v>60</c:v>
                </c:pt>
                <c:pt idx="4">
                  <c:v>80</c:v>
                </c:pt>
                <c:pt idx="5">
                  <c:v>100</c:v>
                </c:pt>
                <c:pt idx="6">
                  <c:v>125</c:v>
                </c:pt>
                <c:pt idx="7">
                  <c:v>150</c:v>
                </c:pt>
                <c:pt idx="8">
                  <c:v>200</c:v>
                </c:pt>
                <c:pt idx="9">
                  <c:v>250</c:v>
                </c:pt>
                <c:pt idx="10">
                  <c:v>300</c:v>
                </c:pt>
                <c:pt idx="11">
                  <c:v>350</c:v>
                </c:pt>
                <c:pt idx="12">
                  <c:v>400</c:v>
                </c:pt>
                <c:pt idx="13">
                  <c:v>450</c:v>
                </c:pt>
                <c:pt idx="14">
                  <c:v>500</c:v>
                </c:pt>
                <c:pt idx="15">
                  <c:v>550</c:v>
                </c:pt>
                <c:pt idx="16">
                  <c:v>600</c:v>
                </c:pt>
                <c:pt idx="17">
                  <c:v>650</c:v>
                </c:pt>
                <c:pt idx="18">
                  <c:v>700</c:v>
                </c:pt>
                <c:pt idx="19">
                  <c:v>750</c:v>
                </c:pt>
                <c:pt idx="20">
                  <c:v>800</c:v>
                </c:pt>
                <c:pt idx="21">
                  <c:v>850</c:v>
                </c:pt>
                <c:pt idx="22">
                  <c:v>900</c:v>
                </c:pt>
                <c:pt idx="23">
                  <c:v>950</c:v>
                </c:pt>
                <c:pt idx="24">
                  <c:v>1000</c:v>
                </c:pt>
                <c:pt idx="25" formatCode="0">
                  <c:v>1250</c:v>
                </c:pt>
              </c:numCache>
            </c:numRef>
          </c:xVal>
          <c:yVal>
            <c:numRef>
              <c:f>BG!$E$26:$E$51</c:f>
              <c:numCache>
                <c:formatCode>0.00</c:formatCode>
                <c:ptCount val="26"/>
                <c:pt idx="0">
                  <c:v>2.0661978838585456E-2</c:v>
                </c:pt>
                <c:pt idx="1">
                  <c:v>2.5231341581913851E-2</c:v>
                </c:pt>
                <c:pt idx="2">
                  <c:v>3.1102467529579569E-2</c:v>
                </c:pt>
                <c:pt idx="3">
                  <c:v>3.828664146825804E-2</c:v>
                </c:pt>
                <c:pt idx="4">
                  <c:v>4.7050484902470019E-2</c:v>
                </c:pt>
                <c:pt idx="5">
                  <c:v>5.7701258041430774E-2</c:v>
                </c:pt>
                <c:pt idx="6">
                  <c:v>7.4200880989714807E-2</c:v>
                </c:pt>
                <c:pt idx="7">
                  <c:v>9.4948146858857885E-2</c:v>
                </c:pt>
                <c:pt idx="8">
                  <c:v>0.15239085566331573</c:v>
                </c:pt>
                <c:pt idx="9">
                  <c:v>0.23563672121799309</c:v>
                </c:pt>
                <c:pt idx="10">
                  <c:v>0.34600990878930526</c:v>
                </c:pt>
                <c:pt idx="11">
                  <c:v>0.47628393294855781</c:v>
                </c:pt>
                <c:pt idx="12">
                  <c:v>0.61050861064381889</c:v>
                </c:pt>
                <c:pt idx="13">
                  <c:v>0.73076741973188952</c:v>
                </c:pt>
                <c:pt idx="14">
                  <c:v>0.8257502490160199</c:v>
                </c:pt>
                <c:pt idx="15">
                  <c:v>0.89357162187632855</c:v>
                </c:pt>
                <c:pt idx="16">
                  <c:v>0.9385873025533974</c:v>
                </c:pt>
                <c:pt idx="17">
                  <c:v>0.96703505462323114</c:v>
                </c:pt>
                <c:pt idx="18">
                  <c:v>0.98445882420694109</c:v>
                </c:pt>
                <c:pt idx="19">
                  <c:v>0.99492679038075738</c:v>
                </c:pt>
                <c:pt idx="20">
                  <c:v>1.0011430936473071</c:v>
                </c:pt>
                <c:pt idx="21">
                  <c:v>1.0048091228600182</c:v>
                </c:pt>
                <c:pt idx="22">
                  <c:v>1.0069623223577282</c:v>
                </c:pt>
                <c:pt idx="23">
                  <c:v>1.008223943594458</c:v>
                </c:pt>
                <c:pt idx="24">
                  <c:v>1.0089621229858876</c:v>
                </c:pt>
                <c:pt idx="25">
                  <c:v>1.00992946275549</c:v>
                </c:pt>
              </c:numCache>
            </c:numRef>
          </c:yVal>
          <c:smooth val="1"/>
        </c:ser>
        <c:ser>
          <c:idx val="6"/>
          <c:order val="6"/>
          <c:tx>
            <c:strRef>
              <c:f>BG!$F$25</c:f>
              <c:strCache>
                <c:ptCount val="1"/>
                <c:pt idx="0">
                  <c:v>Runge</c:v>
                </c:pt>
              </c:strCache>
            </c:strRef>
          </c:tx>
          <c:spPr>
            <a:ln w="12700">
              <a:solidFill>
                <a:schemeClr val="accent6">
                  <a:lumMod val="75000"/>
                </a:schemeClr>
              </a:solidFill>
            </a:ln>
          </c:spPr>
          <c:marker>
            <c:symbol val="plus"/>
            <c:size val="6"/>
            <c:spPr>
              <a:noFill/>
              <a:ln w="12700">
                <a:solidFill>
                  <a:srgbClr val="F79646">
                    <a:lumMod val="75000"/>
                  </a:srgbClr>
                </a:solidFill>
              </a:ln>
            </c:spPr>
          </c:marker>
          <c:xVal>
            <c:numRef>
              <c:f>BG!$A$26:$A$51</c:f>
              <c:numCache>
                <c:formatCode>General</c:formatCode>
                <c:ptCount val="26"/>
                <c:pt idx="0" formatCode="0">
                  <c:v>1</c:v>
                </c:pt>
                <c:pt idx="1">
                  <c:v>20</c:v>
                </c:pt>
                <c:pt idx="2">
                  <c:v>40</c:v>
                </c:pt>
                <c:pt idx="3">
                  <c:v>60</c:v>
                </c:pt>
                <c:pt idx="4">
                  <c:v>80</c:v>
                </c:pt>
                <c:pt idx="5">
                  <c:v>100</c:v>
                </c:pt>
                <c:pt idx="6">
                  <c:v>125</c:v>
                </c:pt>
                <c:pt idx="7">
                  <c:v>150</c:v>
                </c:pt>
                <c:pt idx="8">
                  <c:v>200</c:v>
                </c:pt>
                <c:pt idx="9">
                  <c:v>250</c:v>
                </c:pt>
                <c:pt idx="10">
                  <c:v>300</c:v>
                </c:pt>
                <c:pt idx="11">
                  <c:v>350</c:v>
                </c:pt>
                <c:pt idx="12">
                  <c:v>400</c:v>
                </c:pt>
                <c:pt idx="13">
                  <c:v>450</c:v>
                </c:pt>
                <c:pt idx="14">
                  <c:v>500</c:v>
                </c:pt>
                <c:pt idx="15">
                  <c:v>550</c:v>
                </c:pt>
                <c:pt idx="16">
                  <c:v>600</c:v>
                </c:pt>
                <c:pt idx="17">
                  <c:v>650</c:v>
                </c:pt>
                <c:pt idx="18">
                  <c:v>700</c:v>
                </c:pt>
                <c:pt idx="19">
                  <c:v>750</c:v>
                </c:pt>
                <c:pt idx="20">
                  <c:v>800</c:v>
                </c:pt>
                <c:pt idx="21">
                  <c:v>850</c:v>
                </c:pt>
                <c:pt idx="22">
                  <c:v>900</c:v>
                </c:pt>
                <c:pt idx="23">
                  <c:v>950</c:v>
                </c:pt>
                <c:pt idx="24">
                  <c:v>1000</c:v>
                </c:pt>
                <c:pt idx="25" formatCode="0">
                  <c:v>1250</c:v>
                </c:pt>
              </c:numCache>
            </c:numRef>
          </c:xVal>
          <c:yVal>
            <c:numRef>
              <c:f>BG!$F$26:$F$51</c:f>
              <c:numCache>
                <c:formatCode>0.00</c:formatCode>
                <c:ptCount val="26"/>
                <c:pt idx="0">
                  <c:v>2.0679300654985192E-2</c:v>
                </c:pt>
                <c:pt idx="1">
                  <c:v>2.565570378441075E-2</c:v>
                </c:pt>
                <c:pt idx="2">
                  <c:v>3.215074765817226E-2</c:v>
                </c:pt>
                <c:pt idx="3">
                  <c:v>4.0222898160768086E-2</c:v>
                </c:pt>
                <c:pt idx="4">
                  <c:v>5.0217658005456356E-2</c:v>
                </c:pt>
                <c:pt idx="5">
                  <c:v>6.2535808572186435E-2</c:v>
                </c:pt>
                <c:pt idx="6">
                  <c:v>8.1896476528741907E-2</c:v>
                </c:pt>
                <c:pt idx="7">
                  <c:v>0.10657684174593308</c:v>
                </c:pt>
                <c:pt idx="8">
                  <c:v>0.17587644408232025</c:v>
                </c:pt>
                <c:pt idx="9">
                  <c:v>0.27644818796134496</c:v>
                </c:pt>
                <c:pt idx="10">
                  <c:v>0.40650298706969318</c:v>
                </c:pt>
                <c:pt idx="11">
                  <c:v>0.55172372155874294</c:v>
                </c:pt>
                <c:pt idx="12">
                  <c:v>0.68954720691544835</c:v>
                </c:pt>
                <c:pt idx="13">
                  <c:v>0.80157928557528046</c:v>
                </c:pt>
                <c:pt idx="14">
                  <c:v>0.88173019225743809</c:v>
                </c:pt>
                <c:pt idx="15">
                  <c:v>0.93398116870705006</c:v>
                </c:pt>
                <c:pt idx="16">
                  <c:v>0.96600950922526774</c:v>
                </c:pt>
                <c:pt idx="17">
                  <c:v>0.9849061897650182</c:v>
                </c:pt>
                <c:pt idx="18">
                  <c:v>0.99580483934365038</c:v>
                </c:pt>
                <c:pt idx="19">
                  <c:v>1.0020084357685715</c:v>
                </c:pt>
                <c:pt idx="20">
                  <c:v>1.0055131401531434</c:v>
                </c:pt>
                <c:pt idx="21">
                  <c:v>1.0074847129451072</c:v>
                </c:pt>
                <c:pt idx="22">
                  <c:v>1.0085911700057324</c:v>
                </c:pt>
                <c:pt idx="23">
                  <c:v>1.0092112854313484</c:v>
                </c:pt>
                <c:pt idx="24">
                  <c:v>1.0095585681951078</c:v>
                </c:pt>
                <c:pt idx="25">
                  <c:v>1.0099757888872853</c:v>
                </c:pt>
              </c:numCache>
            </c:numRef>
          </c:yVal>
          <c:smooth val="1"/>
        </c:ser>
        <c:ser>
          <c:idx val="7"/>
          <c:order val="7"/>
          <c:tx>
            <c:strRef>
              <c:f>BG!$G$25</c:f>
              <c:strCache>
                <c:ptCount val="1"/>
                <c:pt idx="0">
                  <c:v>Arlington</c:v>
                </c:pt>
              </c:strCache>
            </c:strRef>
          </c:tx>
          <c:spPr>
            <a:ln w="12700">
              <a:solidFill>
                <a:srgbClr val="C0504D">
                  <a:lumMod val="75000"/>
                </a:srgbClr>
              </a:solidFill>
            </a:ln>
          </c:spPr>
          <c:marker>
            <c:symbol val="circle"/>
            <c:size val="4"/>
            <c:spPr>
              <a:solidFill>
                <a:srgbClr val="C0504D">
                  <a:lumMod val="75000"/>
                </a:srgbClr>
              </a:solidFill>
            </c:spPr>
          </c:marker>
          <c:xVal>
            <c:numRef>
              <c:f>BG!$A$26:$A$51</c:f>
              <c:numCache>
                <c:formatCode>General</c:formatCode>
                <c:ptCount val="26"/>
                <c:pt idx="0" formatCode="0">
                  <c:v>1</c:v>
                </c:pt>
                <c:pt idx="1">
                  <c:v>20</c:v>
                </c:pt>
                <c:pt idx="2">
                  <c:v>40</c:v>
                </c:pt>
                <c:pt idx="3">
                  <c:v>60</c:v>
                </c:pt>
                <c:pt idx="4">
                  <c:v>80</c:v>
                </c:pt>
                <c:pt idx="5">
                  <c:v>100</c:v>
                </c:pt>
                <c:pt idx="6">
                  <c:v>125</c:v>
                </c:pt>
                <c:pt idx="7">
                  <c:v>150</c:v>
                </c:pt>
                <c:pt idx="8">
                  <c:v>200</c:v>
                </c:pt>
                <c:pt idx="9">
                  <c:v>250</c:v>
                </c:pt>
                <c:pt idx="10">
                  <c:v>300</c:v>
                </c:pt>
                <c:pt idx="11">
                  <c:v>350</c:v>
                </c:pt>
                <c:pt idx="12">
                  <c:v>400</c:v>
                </c:pt>
                <c:pt idx="13">
                  <c:v>450</c:v>
                </c:pt>
                <c:pt idx="14">
                  <c:v>500</c:v>
                </c:pt>
                <c:pt idx="15">
                  <c:v>550</c:v>
                </c:pt>
                <c:pt idx="16">
                  <c:v>600</c:v>
                </c:pt>
                <c:pt idx="17">
                  <c:v>650</c:v>
                </c:pt>
                <c:pt idx="18">
                  <c:v>700</c:v>
                </c:pt>
                <c:pt idx="19">
                  <c:v>750</c:v>
                </c:pt>
                <c:pt idx="20">
                  <c:v>800</c:v>
                </c:pt>
                <c:pt idx="21">
                  <c:v>850</c:v>
                </c:pt>
                <c:pt idx="22">
                  <c:v>900</c:v>
                </c:pt>
                <c:pt idx="23">
                  <c:v>950</c:v>
                </c:pt>
                <c:pt idx="24">
                  <c:v>1000</c:v>
                </c:pt>
                <c:pt idx="25" formatCode="0">
                  <c:v>1250</c:v>
                </c:pt>
              </c:numCache>
            </c:numRef>
          </c:xVal>
          <c:yVal>
            <c:numRef>
              <c:f>BG!$G$26:$G$51</c:f>
              <c:numCache>
                <c:formatCode>0.00</c:formatCode>
                <c:ptCount val="26"/>
                <c:pt idx="0">
                  <c:v>2.0752439388184586E-2</c:v>
                </c:pt>
                <c:pt idx="1">
                  <c:v>2.7521262522103854E-2</c:v>
                </c:pt>
                <c:pt idx="2">
                  <c:v>3.6954628303508354E-2</c:v>
                </c:pt>
                <c:pt idx="3">
                  <c:v>4.945866181171054E-2</c:v>
                </c:pt>
                <c:pt idx="4">
                  <c:v>6.5907012758934097E-2</c:v>
                </c:pt>
                <c:pt idx="5">
                  <c:v>8.7328227377700796E-2</c:v>
                </c:pt>
                <c:pt idx="6">
                  <c:v>0.12284192495097079</c:v>
                </c:pt>
                <c:pt idx="7">
                  <c:v>0.17013487427915008</c:v>
                </c:pt>
                <c:pt idx="8">
                  <c:v>0.30546563737438931</c:v>
                </c:pt>
                <c:pt idx="9">
                  <c:v>0.48613445554072621</c:v>
                </c:pt>
                <c:pt idx="10">
                  <c:v>0.67177231794484205</c:v>
                </c:pt>
                <c:pt idx="11">
                  <c:v>0.81765505194813004</c:v>
                </c:pt>
                <c:pt idx="12">
                  <c:v>0.90998430120096074</c:v>
                </c:pt>
                <c:pt idx="13">
                  <c:v>0.96066773104760061</c:v>
                </c:pt>
                <c:pt idx="14">
                  <c:v>0.98633502995455447</c:v>
                </c:pt>
                <c:pt idx="15">
                  <c:v>0.99880342640315545</c:v>
                </c:pt>
                <c:pt idx="16">
                  <c:v>1.0047376297914377</c:v>
                </c:pt>
                <c:pt idx="17">
                  <c:v>1.0075344588686388</c:v>
                </c:pt>
                <c:pt idx="18">
                  <c:v>1.0088465439053318</c:v>
                </c:pt>
                <c:pt idx="19">
                  <c:v>1.0094607514208107</c:v>
                </c:pt>
                <c:pt idx="20">
                  <c:v>1.009747979320418</c:v>
                </c:pt>
                <c:pt idx="21">
                  <c:v>1.0098822346486986</c:v>
                </c:pt>
                <c:pt idx="22">
                  <c:v>1.0099449739769419</c:v>
                </c:pt>
                <c:pt idx="23">
                  <c:v>1.0099742898656556</c:v>
                </c:pt>
                <c:pt idx="24">
                  <c:v>1.0099879874875719</c:v>
                </c:pt>
                <c:pt idx="25">
                  <c:v>1.0099997325411516</c:v>
                </c:pt>
              </c:numCache>
            </c:numRef>
          </c:yVal>
          <c:smooth val="1"/>
        </c:ser>
        <c:dLbls>
          <c:showLegendKey val="0"/>
          <c:showVal val="0"/>
          <c:showCatName val="0"/>
          <c:showSerName val="0"/>
          <c:showPercent val="0"/>
          <c:showBubbleSize val="0"/>
        </c:dLbls>
        <c:axId val="400825680"/>
        <c:axId val="400822152"/>
      </c:scatterChart>
      <c:valAx>
        <c:axId val="400825680"/>
        <c:scaling>
          <c:orientation val="minMax"/>
          <c:max val="900"/>
          <c:min val="0"/>
        </c:scaling>
        <c:delete val="0"/>
        <c:axPos val="b"/>
        <c:title>
          <c:tx>
            <c:rich>
              <a:bodyPr/>
              <a:lstStyle/>
              <a:p>
                <a:pPr>
                  <a:defRPr sz="1100" b="0" i="0" u="none" strike="noStrike" baseline="0">
                    <a:solidFill>
                      <a:srgbClr val="000000"/>
                    </a:solidFill>
                    <a:latin typeface="Calibri"/>
                    <a:ea typeface="Calibri"/>
                    <a:cs typeface="Calibri"/>
                  </a:defRPr>
                </a:pPr>
                <a:r>
                  <a:rPr lang="en-US" sz="1200" b="1" i="0" u="none" strike="noStrike" baseline="0">
                    <a:solidFill>
                      <a:srgbClr val="000000"/>
                    </a:solidFill>
                    <a:latin typeface="Calibri"/>
                    <a:cs typeface="Calibri"/>
                  </a:rPr>
                  <a:t>β-Glucosidase</a:t>
                </a:r>
                <a:r>
                  <a:rPr lang="en-US" sz="1200" b="1" i="0" u="none" strike="noStrike" baseline="0">
                    <a:solidFill>
                      <a:srgbClr val="000000"/>
                    </a:solidFill>
                    <a:latin typeface="Geneva"/>
                    <a:cs typeface="Calibri"/>
                  </a:rPr>
                  <a:t> (mg PNP/kg/hr )</a:t>
                </a:r>
                <a:endParaRPr lang="en-US" sz="1200" b="1" i="0" u="none" strike="noStrike" baseline="0">
                  <a:solidFill>
                    <a:srgbClr val="000000"/>
                  </a:solidFill>
                  <a:latin typeface="Geneva"/>
                </a:endParaRPr>
              </a:p>
            </c:rich>
          </c:tx>
          <c:layout>
            <c:manualLayout>
              <c:xMode val="edge"/>
              <c:yMode val="edge"/>
              <c:x val="0.3598331458567679"/>
              <c:y val="0.9020784365573713"/>
            </c:manualLayout>
          </c:layout>
          <c:overlay val="0"/>
          <c:spPr>
            <a:noFill/>
            <a:ln w="25400">
              <a:noFill/>
            </a:ln>
          </c:spPr>
        </c:title>
        <c:numFmt formatCode="0" sourceLinked="1"/>
        <c:majorTickMark val="in"/>
        <c:minorTickMark val="in"/>
        <c:tickLblPos val="nextTo"/>
        <c:spPr>
          <a:ln w="3175">
            <a:solidFill>
              <a:srgbClr val="000000"/>
            </a:solidFill>
            <a:prstDash val="solid"/>
          </a:ln>
        </c:spPr>
        <c:txPr>
          <a:bodyPr rot="0" vert="horz"/>
          <a:lstStyle/>
          <a:p>
            <a:pPr>
              <a:defRPr sz="1200" b="0" i="0" u="none" strike="noStrike" baseline="0">
                <a:solidFill>
                  <a:srgbClr val="000000"/>
                </a:solidFill>
                <a:latin typeface="Geneva"/>
                <a:ea typeface="Geneva"/>
                <a:cs typeface="Geneva"/>
              </a:defRPr>
            </a:pPr>
            <a:endParaRPr lang="en-US"/>
          </a:p>
        </c:txPr>
        <c:crossAx val="400822152"/>
        <c:crosses val="autoZero"/>
        <c:crossBetween val="midCat"/>
        <c:majorUnit val="200"/>
        <c:minorUnit val="100"/>
      </c:valAx>
      <c:valAx>
        <c:axId val="400822152"/>
        <c:scaling>
          <c:orientation val="minMax"/>
          <c:max val="1.05"/>
          <c:min val="0"/>
        </c:scaling>
        <c:delete val="0"/>
        <c:axPos val="l"/>
        <c:majorGridlines>
          <c:spPr>
            <a:ln w="3175">
              <a:solidFill>
                <a:srgbClr val="FFFFFF"/>
              </a:solidFill>
              <a:prstDash val="solid"/>
            </a:ln>
          </c:spPr>
        </c:majorGridlines>
        <c:title>
          <c:tx>
            <c:rich>
              <a:bodyPr/>
              <a:lstStyle/>
              <a:p>
                <a:pPr>
                  <a:defRPr sz="1200" b="1" i="0" u="none" strike="noStrike" baseline="0">
                    <a:solidFill>
                      <a:srgbClr val="000000"/>
                    </a:solidFill>
                    <a:latin typeface="Geneva"/>
                    <a:ea typeface="Geneva"/>
                    <a:cs typeface="Geneva"/>
                  </a:defRPr>
                </a:pPr>
                <a:r>
                  <a:rPr lang="en-US"/>
                  <a:t>score</a:t>
                </a:r>
              </a:p>
            </c:rich>
          </c:tx>
          <c:layout>
            <c:manualLayout>
              <c:xMode val="edge"/>
              <c:yMode val="edge"/>
              <c:x val="1.0460116665744651E-2"/>
              <c:y val="0.38575723743487306"/>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Geneva"/>
                <a:ea typeface="Geneva"/>
                <a:cs typeface="Geneva"/>
              </a:defRPr>
            </a:pPr>
            <a:endParaRPr lang="en-US"/>
          </a:p>
        </c:txPr>
        <c:crossAx val="400825680"/>
        <c:crosses val="autoZero"/>
        <c:crossBetween val="midCat"/>
      </c:valAx>
      <c:spPr>
        <a:solidFill>
          <a:srgbClr val="FFFFFF"/>
        </a:solidFill>
        <a:ln w="25400">
          <a:noFill/>
        </a:ln>
      </c:spPr>
    </c:plotArea>
    <c:legend>
      <c:legendPos val="r"/>
      <c:layout>
        <c:manualLayout>
          <c:xMode val="edge"/>
          <c:yMode val="edge"/>
          <c:x val="0.79156908665105397"/>
          <c:y val="0.17910472245073839"/>
          <c:w val="0.18384074941451989"/>
          <c:h val="0.43097112860892395"/>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Geneva"/>
              <a:ea typeface="Geneva"/>
              <a:cs typeface="Geneva"/>
            </a:defRPr>
          </a:pPr>
          <a:endParaRPr lang="en-US"/>
        </a:p>
      </c:txPr>
    </c:legend>
    <c:plotVisOnly val="1"/>
    <c:dispBlanksAs val="gap"/>
    <c:showDLblsOverMax val="0"/>
  </c:chart>
  <c:spPr>
    <a:solidFill>
      <a:srgbClr val="FFFFFF"/>
    </a:solidFill>
    <a:ln w="9525">
      <a:noFill/>
    </a:ln>
  </c:spPr>
  <c:txPr>
    <a:bodyPr/>
    <a:lstStyle/>
    <a:p>
      <a:pPr>
        <a:defRPr sz="1150" b="0" i="0" u="none" strike="noStrike" baseline="0">
          <a:solidFill>
            <a:srgbClr val="000000"/>
          </a:solidFill>
          <a:latin typeface="Geneva"/>
          <a:ea typeface="Geneva"/>
          <a:cs typeface="Geneva"/>
        </a:defRPr>
      </a:pPr>
      <a:endParaRPr lang="en-US"/>
    </a:p>
  </c:txPr>
  <c:printSettings>
    <c:headerFooter alignWithMargins="0"/>
    <c:pageMargins b="1" l="0.75000000000000211" r="0.75000000000000211"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146683348089334"/>
          <c:y val="2.7833022252002359E-2"/>
          <c:w val="0.58912850472301659"/>
          <c:h val="0.73558701666006165"/>
        </c:manualLayout>
      </c:layout>
      <c:scatterChart>
        <c:scatterStyle val="smoothMarker"/>
        <c:varyColors val="0"/>
        <c:ser>
          <c:idx val="0"/>
          <c:order val="0"/>
          <c:tx>
            <c:strRef>
              <c:f>EC!$B$78</c:f>
              <c:strCache>
                <c:ptCount val="1"/>
                <c:pt idx="0">
                  <c:v>dry bean (ECsat)</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xVal>
            <c:numRef>
              <c:f>EC!$A$79:$A$92</c:f>
              <c:numCache>
                <c:formatCode>General</c:formatCode>
                <c:ptCount val="14"/>
                <c:pt idx="0">
                  <c:v>0.25</c:v>
                </c:pt>
                <c:pt idx="1">
                  <c:v>0.5</c:v>
                </c:pt>
                <c:pt idx="2">
                  <c:v>0.75</c:v>
                </c:pt>
                <c:pt idx="3">
                  <c:v>1</c:v>
                </c:pt>
                <c:pt idx="4">
                  <c:v>1.6</c:v>
                </c:pt>
                <c:pt idx="5">
                  <c:v>2</c:v>
                </c:pt>
                <c:pt idx="6">
                  <c:v>2.5</c:v>
                </c:pt>
                <c:pt idx="7">
                  <c:v>3</c:v>
                </c:pt>
                <c:pt idx="8">
                  <c:v>4</c:v>
                </c:pt>
                <c:pt idx="9">
                  <c:v>4.5</c:v>
                </c:pt>
                <c:pt idx="10">
                  <c:v>6.1</c:v>
                </c:pt>
                <c:pt idx="11">
                  <c:v>7</c:v>
                </c:pt>
                <c:pt idx="12">
                  <c:v>8</c:v>
                </c:pt>
                <c:pt idx="13">
                  <c:v>9</c:v>
                </c:pt>
              </c:numCache>
            </c:numRef>
          </c:xVal>
          <c:yVal>
            <c:numRef>
              <c:f>EC!$B$79:$B$92</c:f>
              <c:numCache>
                <c:formatCode>0.00</c:formatCode>
                <c:ptCount val="14"/>
                <c:pt idx="0">
                  <c:v>0.83250000000000002</c:v>
                </c:pt>
                <c:pt idx="1">
                  <c:v>1</c:v>
                </c:pt>
                <c:pt idx="2">
                  <c:v>1</c:v>
                </c:pt>
                <c:pt idx="3">
                  <c:v>1</c:v>
                </c:pt>
                <c:pt idx="4">
                  <c:v>0.45418949932725972</c:v>
                </c:pt>
                <c:pt idx="5">
                  <c:v>9.03158322120996E-2</c:v>
                </c:pt>
                <c:pt idx="6">
                  <c:v>-0.3645262516818506</c:v>
                </c:pt>
                <c:pt idx="7">
                  <c:v>-0.8193683355758008</c:v>
                </c:pt>
                <c:pt idx="8">
                  <c:v>-1.7290525033637012</c:v>
                </c:pt>
                <c:pt idx="9">
                  <c:v>-2.1838945872576518</c:v>
                </c:pt>
                <c:pt idx="10">
                  <c:v>-3.6393892557182914</c:v>
                </c:pt>
                <c:pt idx="11">
                  <c:v>-4.4581050067274024</c:v>
                </c:pt>
                <c:pt idx="12">
                  <c:v>-5.3677891745153028</c:v>
                </c:pt>
                <c:pt idx="13">
                  <c:v>-6.2774733423032041</c:v>
                </c:pt>
              </c:numCache>
            </c:numRef>
          </c:yVal>
          <c:smooth val="1"/>
        </c:ser>
        <c:ser>
          <c:idx val="1"/>
          <c:order val="1"/>
          <c:tx>
            <c:strRef>
              <c:f>EC!$C$78</c:f>
              <c:strCache>
                <c:ptCount val="1"/>
                <c:pt idx="0">
                  <c:v>fescue (ECsat)</c:v>
                </c:pt>
              </c:strCache>
            </c:strRef>
          </c:tx>
          <c:spPr>
            <a:ln w="12700">
              <a:solidFill>
                <a:srgbClr val="FFCC00"/>
              </a:solidFill>
              <a:prstDash val="solid"/>
            </a:ln>
          </c:spPr>
          <c:marker>
            <c:symbol val="square"/>
            <c:size val="5"/>
            <c:spPr>
              <a:solidFill>
                <a:srgbClr val="FFCC00"/>
              </a:solidFill>
              <a:ln>
                <a:solidFill>
                  <a:srgbClr val="FFCC00"/>
                </a:solidFill>
                <a:prstDash val="solid"/>
              </a:ln>
            </c:spPr>
          </c:marker>
          <c:xVal>
            <c:numRef>
              <c:f>EC!$A$79:$A$92</c:f>
              <c:numCache>
                <c:formatCode>General</c:formatCode>
                <c:ptCount val="14"/>
                <c:pt idx="0">
                  <c:v>0.25</c:v>
                </c:pt>
                <c:pt idx="1">
                  <c:v>0.5</c:v>
                </c:pt>
                <c:pt idx="2">
                  <c:v>0.75</c:v>
                </c:pt>
                <c:pt idx="3">
                  <c:v>1</c:v>
                </c:pt>
                <c:pt idx="4">
                  <c:v>1.6</c:v>
                </c:pt>
                <c:pt idx="5">
                  <c:v>2</c:v>
                </c:pt>
                <c:pt idx="6">
                  <c:v>2.5</c:v>
                </c:pt>
                <c:pt idx="7">
                  <c:v>3</c:v>
                </c:pt>
                <c:pt idx="8">
                  <c:v>4</c:v>
                </c:pt>
                <c:pt idx="9">
                  <c:v>4.5</c:v>
                </c:pt>
                <c:pt idx="10">
                  <c:v>6.1</c:v>
                </c:pt>
                <c:pt idx="11">
                  <c:v>7</c:v>
                </c:pt>
                <c:pt idx="12">
                  <c:v>8</c:v>
                </c:pt>
                <c:pt idx="13">
                  <c:v>9</c:v>
                </c:pt>
              </c:numCache>
            </c:numRef>
          </c:xVal>
          <c:yVal>
            <c:numRef>
              <c:f>EC!$C$79:$C$92</c:f>
              <c:numCache>
                <c:formatCode>0.00</c:formatCode>
                <c:ptCount val="14"/>
                <c:pt idx="0">
                  <c:v>0.83250000000000002</c:v>
                </c:pt>
                <c:pt idx="1">
                  <c:v>1</c:v>
                </c:pt>
                <c:pt idx="2">
                  <c:v>1</c:v>
                </c:pt>
                <c:pt idx="3">
                  <c:v>1</c:v>
                </c:pt>
                <c:pt idx="4">
                  <c:v>1</c:v>
                </c:pt>
                <c:pt idx="5">
                  <c:v>1</c:v>
                </c:pt>
                <c:pt idx="6">
                  <c:v>1</c:v>
                </c:pt>
                <c:pt idx="7">
                  <c:v>1</c:v>
                </c:pt>
                <c:pt idx="8">
                  <c:v>0.95951227581942145</c:v>
                </c:pt>
                <c:pt idx="9">
                  <c:v>0.75707365491652934</c:v>
                </c:pt>
                <c:pt idx="10">
                  <c:v>0.1092700680272749</c:v>
                </c:pt>
                <c:pt idx="11">
                  <c:v>-0.25511944959793054</c:v>
                </c:pt>
                <c:pt idx="12">
                  <c:v>-0.65999669140371475</c:v>
                </c:pt>
                <c:pt idx="13">
                  <c:v>-1.064873933209499</c:v>
                </c:pt>
              </c:numCache>
            </c:numRef>
          </c:yVal>
          <c:smooth val="1"/>
        </c:ser>
        <c:ser>
          <c:idx val="2"/>
          <c:order val="2"/>
          <c:tx>
            <c:strRef>
              <c:f>EC!$D$78</c:f>
              <c:strCache>
                <c:ptCount val="1"/>
                <c:pt idx="0">
                  <c:v>wheat (ECsat)</c:v>
                </c:pt>
              </c:strCache>
            </c:strRef>
          </c:tx>
          <c:spPr>
            <a:ln w="12700">
              <a:solidFill>
                <a:srgbClr val="339966"/>
              </a:solidFill>
              <a:prstDash val="solid"/>
            </a:ln>
          </c:spPr>
          <c:marker>
            <c:symbol val="triangle"/>
            <c:size val="5"/>
            <c:spPr>
              <a:solidFill>
                <a:srgbClr val="339966"/>
              </a:solidFill>
              <a:ln>
                <a:solidFill>
                  <a:srgbClr val="339966"/>
                </a:solidFill>
                <a:prstDash val="solid"/>
              </a:ln>
            </c:spPr>
          </c:marker>
          <c:xVal>
            <c:numRef>
              <c:f>EC!$A$79:$A$92</c:f>
              <c:numCache>
                <c:formatCode>General</c:formatCode>
                <c:ptCount val="14"/>
                <c:pt idx="0">
                  <c:v>0.25</c:v>
                </c:pt>
                <c:pt idx="1">
                  <c:v>0.5</c:v>
                </c:pt>
                <c:pt idx="2">
                  <c:v>0.75</c:v>
                </c:pt>
                <c:pt idx="3">
                  <c:v>1</c:v>
                </c:pt>
                <c:pt idx="4">
                  <c:v>1.6</c:v>
                </c:pt>
                <c:pt idx="5">
                  <c:v>2</c:v>
                </c:pt>
                <c:pt idx="6">
                  <c:v>2.5</c:v>
                </c:pt>
                <c:pt idx="7">
                  <c:v>3</c:v>
                </c:pt>
                <c:pt idx="8">
                  <c:v>4</c:v>
                </c:pt>
                <c:pt idx="9">
                  <c:v>4.5</c:v>
                </c:pt>
                <c:pt idx="10">
                  <c:v>6.1</c:v>
                </c:pt>
                <c:pt idx="11">
                  <c:v>7</c:v>
                </c:pt>
                <c:pt idx="12">
                  <c:v>8</c:v>
                </c:pt>
                <c:pt idx="13">
                  <c:v>9</c:v>
                </c:pt>
              </c:numCache>
            </c:numRef>
          </c:xVal>
          <c:yVal>
            <c:numRef>
              <c:f>EC!$D$79:$D$92</c:f>
              <c:numCache>
                <c:formatCode>0.00</c:formatCode>
                <c:ptCount val="14"/>
                <c:pt idx="0">
                  <c:v>0.83250000000000002</c:v>
                </c:pt>
                <c:pt idx="1">
                  <c:v>1</c:v>
                </c:pt>
                <c:pt idx="2">
                  <c:v>1</c:v>
                </c:pt>
                <c:pt idx="3">
                  <c:v>1</c:v>
                </c:pt>
                <c:pt idx="4">
                  <c:v>1</c:v>
                </c:pt>
                <c:pt idx="5">
                  <c:v>1</c:v>
                </c:pt>
                <c:pt idx="6">
                  <c:v>1</c:v>
                </c:pt>
                <c:pt idx="7">
                  <c:v>1</c:v>
                </c:pt>
                <c:pt idx="8">
                  <c:v>1</c:v>
                </c:pt>
                <c:pt idx="9">
                  <c:v>1</c:v>
                </c:pt>
                <c:pt idx="10">
                  <c:v>0.95631922275256009</c:v>
                </c:pt>
                <c:pt idx="11">
                  <c:v>0.56319222752560139</c:v>
                </c:pt>
                <c:pt idx="12">
                  <c:v>0.12638445505120233</c:v>
                </c:pt>
                <c:pt idx="13">
                  <c:v>-0.31042331742319673</c:v>
                </c:pt>
              </c:numCache>
            </c:numRef>
          </c:yVal>
          <c:smooth val="1"/>
        </c:ser>
        <c:ser>
          <c:idx val="3"/>
          <c:order val="3"/>
          <c:tx>
            <c:strRef>
              <c:f>EC!$E$78</c:f>
              <c:strCache>
                <c:ptCount val="1"/>
                <c:pt idx="0">
                  <c:v>fescue (EC1:1)</c:v>
                </c:pt>
              </c:strCache>
            </c:strRef>
          </c:tx>
          <c:spPr>
            <a:ln w="12700">
              <a:solidFill>
                <a:srgbClr val="FFCC00"/>
              </a:solidFill>
              <a:prstDash val="sysDash"/>
            </a:ln>
          </c:spPr>
          <c:marker>
            <c:symbol val="diamond"/>
            <c:size val="5"/>
            <c:spPr>
              <a:solidFill>
                <a:srgbClr val="FFCC00"/>
              </a:solidFill>
              <a:ln>
                <a:solidFill>
                  <a:srgbClr val="FFCC00"/>
                </a:solidFill>
                <a:prstDash val="solid"/>
              </a:ln>
            </c:spPr>
          </c:marker>
          <c:xVal>
            <c:numRef>
              <c:f>EC!$A$79:$A$92</c:f>
              <c:numCache>
                <c:formatCode>General</c:formatCode>
                <c:ptCount val="14"/>
                <c:pt idx="0">
                  <c:v>0.25</c:v>
                </c:pt>
                <c:pt idx="1">
                  <c:v>0.5</c:v>
                </c:pt>
                <c:pt idx="2">
                  <c:v>0.75</c:v>
                </c:pt>
                <c:pt idx="3">
                  <c:v>1</c:v>
                </c:pt>
                <c:pt idx="4">
                  <c:v>1.6</c:v>
                </c:pt>
                <c:pt idx="5">
                  <c:v>2</c:v>
                </c:pt>
                <c:pt idx="6">
                  <c:v>2.5</c:v>
                </c:pt>
                <c:pt idx="7">
                  <c:v>3</c:v>
                </c:pt>
                <c:pt idx="8">
                  <c:v>4</c:v>
                </c:pt>
                <c:pt idx="9">
                  <c:v>4.5</c:v>
                </c:pt>
                <c:pt idx="10">
                  <c:v>6.1</c:v>
                </c:pt>
                <c:pt idx="11">
                  <c:v>7</c:v>
                </c:pt>
                <c:pt idx="12">
                  <c:v>8</c:v>
                </c:pt>
                <c:pt idx="13">
                  <c:v>9</c:v>
                </c:pt>
              </c:numCache>
            </c:numRef>
          </c:xVal>
          <c:yVal>
            <c:numRef>
              <c:f>EC!$E$79:$E$92</c:f>
              <c:numCache>
                <c:formatCode>0.00</c:formatCode>
                <c:ptCount val="14"/>
                <c:pt idx="0">
                  <c:v>1</c:v>
                </c:pt>
                <c:pt idx="1">
                  <c:v>1</c:v>
                </c:pt>
                <c:pt idx="2">
                  <c:v>1</c:v>
                </c:pt>
                <c:pt idx="3">
                  <c:v>1</c:v>
                </c:pt>
                <c:pt idx="4">
                  <c:v>1</c:v>
                </c:pt>
                <c:pt idx="5">
                  <c:v>1</c:v>
                </c:pt>
                <c:pt idx="6">
                  <c:v>0.87990929268472495</c:v>
                </c:pt>
                <c:pt idx="7">
                  <c:v>0.67747067178183284</c:v>
                </c:pt>
                <c:pt idx="8">
                  <c:v>0.27259342997604885</c:v>
                </c:pt>
                <c:pt idx="9">
                  <c:v>7.0154809073156743E-2</c:v>
                </c:pt>
                <c:pt idx="10">
                  <c:v>-0.57764877781609769</c:v>
                </c:pt>
                <c:pt idx="11">
                  <c:v>-0.94203829544130313</c:v>
                </c:pt>
                <c:pt idx="12">
                  <c:v>-1.3469155372470873</c:v>
                </c:pt>
                <c:pt idx="13">
                  <c:v>-1.7517927790528716</c:v>
                </c:pt>
              </c:numCache>
            </c:numRef>
          </c:yVal>
          <c:smooth val="1"/>
        </c:ser>
        <c:ser>
          <c:idx val="4"/>
          <c:order val="4"/>
          <c:tx>
            <c:strRef>
              <c:f>EC!$F$78</c:f>
              <c:strCache>
                <c:ptCount val="1"/>
                <c:pt idx="0">
                  <c:v>wheat (EC1:1)sand</c:v>
                </c:pt>
              </c:strCache>
            </c:strRef>
          </c:tx>
          <c:spPr>
            <a:ln w="12700">
              <a:solidFill>
                <a:srgbClr val="339966"/>
              </a:solidFill>
              <a:prstDash val="sysDash"/>
            </a:ln>
          </c:spPr>
          <c:marker>
            <c:symbol val="triangle"/>
            <c:size val="5"/>
            <c:spPr>
              <a:solidFill>
                <a:srgbClr val="339966"/>
              </a:solidFill>
              <a:ln>
                <a:solidFill>
                  <a:srgbClr val="339966"/>
                </a:solidFill>
                <a:prstDash val="solid"/>
              </a:ln>
            </c:spPr>
          </c:marker>
          <c:xVal>
            <c:numRef>
              <c:f>EC!$A$79:$A$92</c:f>
              <c:numCache>
                <c:formatCode>General</c:formatCode>
                <c:ptCount val="14"/>
                <c:pt idx="0">
                  <c:v>0.25</c:v>
                </c:pt>
                <c:pt idx="1">
                  <c:v>0.5</c:v>
                </c:pt>
                <c:pt idx="2">
                  <c:v>0.75</c:v>
                </c:pt>
                <c:pt idx="3">
                  <c:v>1</c:v>
                </c:pt>
                <c:pt idx="4">
                  <c:v>1.6</c:v>
                </c:pt>
                <c:pt idx="5">
                  <c:v>2</c:v>
                </c:pt>
                <c:pt idx="6">
                  <c:v>2.5</c:v>
                </c:pt>
                <c:pt idx="7">
                  <c:v>3</c:v>
                </c:pt>
                <c:pt idx="8">
                  <c:v>4</c:v>
                </c:pt>
                <c:pt idx="9">
                  <c:v>4.5</c:v>
                </c:pt>
                <c:pt idx="10">
                  <c:v>6.1</c:v>
                </c:pt>
                <c:pt idx="11">
                  <c:v>7</c:v>
                </c:pt>
                <c:pt idx="12">
                  <c:v>8</c:v>
                </c:pt>
                <c:pt idx="13">
                  <c:v>9</c:v>
                </c:pt>
              </c:numCache>
            </c:numRef>
          </c:xVal>
          <c:yVal>
            <c:numRef>
              <c:f>EC!$F$79:$F$92</c:f>
              <c:numCache>
                <c:formatCode>0.00</c:formatCode>
                <c:ptCount val="14"/>
                <c:pt idx="0">
                  <c:v>1</c:v>
                </c:pt>
                <c:pt idx="1">
                  <c:v>1</c:v>
                </c:pt>
                <c:pt idx="2">
                  <c:v>1</c:v>
                </c:pt>
                <c:pt idx="3">
                  <c:v>1</c:v>
                </c:pt>
                <c:pt idx="4">
                  <c:v>1</c:v>
                </c:pt>
                <c:pt idx="5">
                  <c:v>1</c:v>
                </c:pt>
                <c:pt idx="6">
                  <c:v>1</c:v>
                </c:pt>
                <c:pt idx="7">
                  <c:v>1</c:v>
                </c:pt>
                <c:pt idx="8">
                  <c:v>0.73791533651536056</c:v>
                </c:pt>
                <c:pt idx="9">
                  <c:v>0.51951145027816104</c:v>
                </c:pt>
                <c:pt idx="10">
                  <c:v>-0.17938098568087701</c:v>
                </c:pt>
                <c:pt idx="11">
                  <c:v>-0.57250798090783572</c:v>
                </c:pt>
                <c:pt idx="12">
                  <c:v>-1.0093157533822348</c:v>
                </c:pt>
                <c:pt idx="13">
                  <c:v>-1.4461235258566338</c:v>
                </c:pt>
              </c:numCache>
            </c:numRef>
          </c:yVal>
          <c:smooth val="1"/>
        </c:ser>
        <c:ser>
          <c:idx val="5"/>
          <c:order val="5"/>
          <c:tx>
            <c:strRef>
              <c:f>EC!$G$78</c:f>
              <c:strCache>
                <c:ptCount val="1"/>
                <c:pt idx="0">
                  <c:v>wheat (EC1:1)silt</c:v>
                </c:pt>
              </c:strCache>
            </c:strRef>
          </c:tx>
          <c:spPr>
            <a:ln w="12700">
              <a:solidFill>
                <a:srgbClr val="339966"/>
              </a:solidFill>
              <a:prstDash val="sysDash"/>
            </a:ln>
          </c:spPr>
          <c:marker>
            <c:symbol val="triangle"/>
            <c:size val="5"/>
            <c:spPr>
              <a:noFill/>
              <a:ln>
                <a:solidFill>
                  <a:srgbClr val="339966"/>
                </a:solidFill>
                <a:prstDash val="solid"/>
              </a:ln>
            </c:spPr>
          </c:marker>
          <c:xVal>
            <c:numRef>
              <c:f>EC!$A$79:$A$92</c:f>
              <c:numCache>
                <c:formatCode>General</c:formatCode>
                <c:ptCount val="14"/>
                <c:pt idx="0">
                  <c:v>0.25</c:v>
                </c:pt>
                <c:pt idx="1">
                  <c:v>0.5</c:v>
                </c:pt>
                <c:pt idx="2">
                  <c:v>0.75</c:v>
                </c:pt>
                <c:pt idx="3">
                  <c:v>1</c:v>
                </c:pt>
                <c:pt idx="4">
                  <c:v>1.6</c:v>
                </c:pt>
                <c:pt idx="5">
                  <c:v>2</c:v>
                </c:pt>
                <c:pt idx="6">
                  <c:v>2.5</c:v>
                </c:pt>
                <c:pt idx="7">
                  <c:v>3</c:v>
                </c:pt>
                <c:pt idx="8">
                  <c:v>4</c:v>
                </c:pt>
                <c:pt idx="9">
                  <c:v>4.5</c:v>
                </c:pt>
                <c:pt idx="10">
                  <c:v>6.1</c:v>
                </c:pt>
                <c:pt idx="11">
                  <c:v>7</c:v>
                </c:pt>
                <c:pt idx="12">
                  <c:v>8</c:v>
                </c:pt>
                <c:pt idx="13">
                  <c:v>9</c:v>
                </c:pt>
              </c:numCache>
            </c:numRef>
          </c:xVal>
          <c:yVal>
            <c:numRef>
              <c:f>EC!$G$79:$G$92</c:f>
              <c:numCache>
                <c:formatCode>0.00</c:formatCode>
                <c:ptCount val="14"/>
                <c:pt idx="0">
                  <c:v>1</c:v>
                </c:pt>
                <c:pt idx="1">
                  <c:v>1</c:v>
                </c:pt>
                <c:pt idx="2">
                  <c:v>1</c:v>
                </c:pt>
                <c:pt idx="3">
                  <c:v>1</c:v>
                </c:pt>
                <c:pt idx="4">
                  <c:v>1</c:v>
                </c:pt>
                <c:pt idx="5">
                  <c:v>1</c:v>
                </c:pt>
                <c:pt idx="6">
                  <c:v>1</c:v>
                </c:pt>
                <c:pt idx="7">
                  <c:v>1</c:v>
                </c:pt>
                <c:pt idx="8">
                  <c:v>1</c:v>
                </c:pt>
                <c:pt idx="9">
                  <c:v>0.78683780703249306</c:v>
                </c:pt>
                <c:pt idx="10">
                  <c:v>8.7945371073455014E-2</c:v>
                </c:pt>
                <c:pt idx="11">
                  <c:v>-0.30518162415350369</c:v>
                </c:pt>
                <c:pt idx="12">
                  <c:v>-0.74198939662790275</c:v>
                </c:pt>
                <c:pt idx="13">
                  <c:v>-1.1787971691023018</c:v>
                </c:pt>
              </c:numCache>
            </c:numRef>
          </c:yVal>
          <c:smooth val="1"/>
        </c:ser>
        <c:ser>
          <c:idx val="6"/>
          <c:order val="6"/>
          <c:tx>
            <c:strRef>
              <c:f>EC!$H$78</c:f>
              <c:strCache>
                <c:ptCount val="1"/>
                <c:pt idx="0">
                  <c:v>wheat (EC1:1)clay</c:v>
                </c:pt>
              </c:strCache>
            </c:strRef>
          </c:tx>
          <c:spPr>
            <a:ln w="12700">
              <a:solidFill>
                <a:srgbClr val="339966"/>
              </a:solidFill>
              <a:prstDash val="sysDash"/>
            </a:ln>
          </c:spPr>
          <c:marker>
            <c:symbol val="circle"/>
            <c:size val="5"/>
            <c:spPr>
              <a:noFill/>
              <a:ln>
                <a:solidFill>
                  <a:srgbClr val="339966"/>
                </a:solidFill>
                <a:prstDash val="solid"/>
              </a:ln>
            </c:spPr>
          </c:marker>
          <c:xVal>
            <c:numRef>
              <c:f>EC!$A$79:$A$92</c:f>
              <c:numCache>
                <c:formatCode>General</c:formatCode>
                <c:ptCount val="14"/>
                <c:pt idx="0">
                  <c:v>0.25</c:v>
                </c:pt>
                <c:pt idx="1">
                  <c:v>0.5</c:v>
                </c:pt>
                <c:pt idx="2">
                  <c:v>0.75</c:v>
                </c:pt>
                <c:pt idx="3">
                  <c:v>1</c:v>
                </c:pt>
                <c:pt idx="4">
                  <c:v>1.6</c:v>
                </c:pt>
                <c:pt idx="5">
                  <c:v>2</c:v>
                </c:pt>
                <c:pt idx="6">
                  <c:v>2.5</c:v>
                </c:pt>
                <c:pt idx="7">
                  <c:v>3</c:v>
                </c:pt>
                <c:pt idx="8">
                  <c:v>4</c:v>
                </c:pt>
                <c:pt idx="9">
                  <c:v>4.5</c:v>
                </c:pt>
                <c:pt idx="10">
                  <c:v>6.1</c:v>
                </c:pt>
                <c:pt idx="11">
                  <c:v>7</c:v>
                </c:pt>
                <c:pt idx="12">
                  <c:v>8</c:v>
                </c:pt>
                <c:pt idx="13">
                  <c:v>9</c:v>
                </c:pt>
              </c:numCache>
            </c:numRef>
          </c:xVal>
          <c:yVal>
            <c:numRef>
              <c:f>EC!$H$79:$H$92</c:f>
              <c:numCache>
                <c:formatCode>0.00</c:formatCode>
                <c:ptCount val="14"/>
                <c:pt idx="0">
                  <c:v>1</c:v>
                </c:pt>
                <c:pt idx="1">
                  <c:v>1</c:v>
                </c:pt>
                <c:pt idx="2">
                  <c:v>1</c:v>
                </c:pt>
                <c:pt idx="3">
                  <c:v>1</c:v>
                </c:pt>
                <c:pt idx="4">
                  <c:v>1</c:v>
                </c:pt>
                <c:pt idx="5">
                  <c:v>1</c:v>
                </c:pt>
                <c:pt idx="6">
                  <c:v>1</c:v>
                </c:pt>
                <c:pt idx="7">
                  <c:v>1</c:v>
                </c:pt>
                <c:pt idx="8">
                  <c:v>1</c:v>
                </c:pt>
                <c:pt idx="9">
                  <c:v>0.89079805688140024</c:v>
                </c:pt>
                <c:pt idx="10">
                  <c:v>0.19190562092236219</c:v>
                </c:pt>
                <c:pt idx="11">
                  <c:v>-0.20122137430459652</c:v>
                </c:pt>
                <c:pt idx="12">
                  <c:v>-0.63802914677899558</c:v>
                </c:pt>
                <c:pt idx="13">
                  <c:v>-1.0748369192533946</c:v>
                </c:pt>
              </c:numCache>
            </c:numRef>
          </c:yVal>
          <c:smooth val="1"/>
        </c:ser>
        <c:dLbls>
          <c:showLegendKey val="0"/>
          <c:showVal val="0"/>
          <c:showCatName val="0"/>
          <c:showSerName val="0"/>
          <c:showPercent val="0"/>
          <c:showBubbleSize val="0"/>
        </c:dLbls>
        <c:axId val="400821368"/>
        <c:axId val="400822936"/>
      </c:scatterChart>
      <c:valAx>
        <c:axId val="400821368"/>
        <c:scaling>
          <c:orientation val="minMax"/>
        </c:scaling>
        <c:delete val="0"/>
        <c:axPos val="b"/>
        <c:title>
          <c:tx>
            <c:rich>
              <a:bodyPr/>
              <a:lstStyle/>
              <a:p>
                <a:pPr>
                  <a:defRPr sz="1550" b="1" i="0" u="none" strike="noStrike" baseline="0">
                    <a:solidFill>
                      <a:srgbClr val="000000"/>
                    </a:solidFill>
                    <a:latin typeface="Arial"/>
                    <a:ea typeface="Arial"/>
                    <a:cs typeface="Arial"/>
                  </a:defRPr>
                </a:pPr>
                <a:r>
                  <a:rPr lang="en-US"/>
                  <a:t>EC (dS/m)</a:t>
                </a:r>
              </a:p>
            </c:rich>
          </c:tx>
          <c:layout>
            <c:manualLayout>
              <c:xMode val="edge"/>
              <c:yMode val="edge"/>
              <c:x val="0.37394308012383426"/>
              <c:y val="0.8995118527679065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550" b="0" i="0" u="none" strike="noStrike" baseline="0">
                <a:solidFill>
                  <a:srgbClr val="000000"/>
                </a:solidFill>
                <a:latin typeface="Arial"/>
                <a:ea typeface="Arial"/>
                <a:cs typeface="Arial"/>
              </a:defRPr>
            </a:pPr>
            <a:endParaRPr lang="en-US"/>
          </a:p>
        </c:txPr>
        <c:crossAx val="400822936"/>
        <c:crosses val="autoZero"/>
        <c:crossBetween val="midCat"/>
        <c:majorUnit val="2"/>
      </c:valAx>
      <c:valAx>
        <c:axId val="400822936"/>
        <c:scaling>
          <c:orientation val="minMax"/>
          <c:max val="1.1000000000000001"/>
          <c:min val="0"/>
        </c:scaling>
        <c:delete val="0"/>
        <c:axPos val="l"/>
        <c:majorGridlines>
          <c:spPr>
            <a:ln w="3175">
              <a:solidFill>
                <a:srgbClr val="FFFFFF"/>
              </a:solidFill>
              <a:prstDash val="solid"/>
            </a:ln>
          </c:spPr>
        </c:majorGridlines>
        <c:title>
          <c:tx>
            <c:rich>
              <a:bodyPr/>
              <a:lstStyle/>
              <a:p>
                <a:pPr>
                  <a:defRPr sz="1550" b="1" i="0" u="none" strike="noStrike" baseline="0">
                    <a:solidFill>
                      <a:srgbClr val="000000"/>
                    </a:solidFill>
                    <a:latin typeface="Arial"/>
                    <a:ea typeface="Arial"/>
                    <a:cs typeface="Arial"/>
                  </a:defRPr>
                </a:pPr>
                <a:r>
                  <a:rPr lang="en-US"/>
                  <a:t>score</a:t>
                </a:r>
              </a:p>
            </c:rich>
          </c:tx>
          <c:layout>
            <c:manualLayout>
              <c:xMode val="edge"/>
              <c:yMode val="edge"/>
              <c:x val="8.4601703548118426E-3"/>
              <c:y val="0.37745208538793529"/>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1550" b="0" i="0" u="none" strike="noStrike" baseline="0">
                <a:solidFill>
                  <a:srgbClr val="000000"/>
                </a:solidFill>
                <a:latin typeface="Arial"/>
                <a:ea typeface="Arial"/>
                <a:cs typeface="Arial"/>
              </a:defRPr>
            </a:pPr>
            <a:endParaRPr lang="en-US"/>
          </a:p>
        </c:txPr>
        <c:crossAx val="400821368"/>
        <c:crosses val="autoZero"/>
        <c:crossBetween val="midCat"/>
      </c:valAx>
      <c:spPr>
        <a:solidFill>
          <a:srgbClr val="FFFFFF"/>
        </a:solidFill>
        <a:ln w="25400">
          <a:noFill/>
        </a:ln>
      </c:spPr>
    </c:plotArea>
    <c:legend>
      <c:legendPos val="r"/>
      <c:layout>
        <c:manualLayout>
          <c:xMode val="edge"/>
          <c:yMode val="edge"/>
          <c:x val="0.63969741614156728"/>
          <c:y val="0.21670006209462397"/>
          <c:w val="0.35145435360402977"/>
          <c:h val="0.42544757700516084"/>
        </c:manualLayout>
      </c:layout>
      <c:overlay val="0"/>
      <c:spPr>
        <a:solidFill>
          <a:srgbClr val="FFFFFF"/>
        </a:solidFill>
        <a:ln w="3175">
          <a:solidFill>
            <a:srgbClr val="000000"/>
          </a:solidFill>
          <a:prstDash val="solid"/>
        </a:ln>
      </c:spPr>
      <c:txPr>
        <a:bodyPr/>
        <a:lstStyle/>
        <a:p>
          <a:pPr>
            <a:defRPr sz="10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9566231943530658E-2"/>
          <c:y val="5.0125389960175654E-2"/>
          <c:w val="0.59674673957647884"/>
          <c:h val="0.82706893434289863"/>
        </c:manualLayout>
      </c:layout>
      <c:scatterChart>
        <c:scatterStyle val="lineMarker"/>
        <c:varyColors val="0"/>
        <c:ser>
          <c:idx val="0"/>
          <c:order val="0"/>
          <c:trendline>
            <c:trendlineType val="linear"/>
            <c:dispRSqr val="1"/>
            <c:dispEq val="1"/>
            <c:trendlineLbl>
              <c:layout/>
              <c:numFmt formatCode="General" sourceLinked="0"/>
              <c:spPr>
                <a:noFill/>
                <a:ln w="25400">
                  <a:noFill/>
                </a:ln>
              </c:spPr>
              <c:txPr>
                <a:bodyPr/>
                <a:lstStyle/>
                <a:p>
                  <a:pPr>
                    <a:defRPr sz="1000" b="0" i="0" u="none" strike="noStrike" baseline="0">
                      <a:solidFill>
                        <a:srgbClr val="000000"/>
                      </a:solidFill>
                      <a:latin typeface="Calibri"/>
                      <a:ea typeface="Calibri"/>
                      <a:cs typeface="Calibri"/>
                    </a:defRPr>
                  </a:pPr>
                  <a:endParaRPr lang="en-US"/>
                </a:p>
              </c:txPr>
            </c:trendlineLbl>
          </c:trendline>
          <c:xVal>
            <c:numRef>
              <c:f>EC!$O$36:$O$39</c:f>
              <c:numCache>
                <c:formatCode>General</c:formatCode>
                <c:ptCount val="4"/>
                <c:pt idx="0">
                  <c:v>5</c:v>
                </c:pt>
                <c:pt idx="1">
                  <c:v>6</c:v>
                </c:pt>
                <c:pt idx="2">
                  <c:v>7</c:v>
                </c:pt>
                <c:pt idx="3">
                  <c:v>11</c:v>
                </c:pt>
              </c:numCache>
            </c:numRef>
          </c:xVal>
          <c:yVal>
            <c:numRef>
              <c:f>EC!$P$36:$P$39</c:f>
              <c:numCache>
                <c:formatCode>General</c:formatCode>
                <c:ptCount val="4"/>
                <c:pt idx="0">
                  <c:v>0</c:v>
                </c:pt>
                <c:pt idx="1">
                  <c:v>10</c:v>
                </c:pt>
                <c:pt idx="2">
                  <c:v>25</c:v>
                </c:pt>
                <c:pt idx="3">
                  <c:v>50</c:v>
                </c:pt>
              </c:numCache>
            </c:numRef>
          </c:yVal>
          <c:smooth val="0"/>
        </c:ser>
        <c:dLbls>
          <c:showLegendKey val="0"/>
          <c:showVal val="0"/>
          <c:showCatName val="0"/>
          <c:showSerName val="0"/>
          <c:showPercent val="0"/>
          <c:showBubbleSize val="0"/>
        </c:dLbls>
        <c:axId val="400824112"/>
        <c:axId val="400826072"/>
      </c:scatterChart>
      <c:valAx>
        <c:axId val="400824112"/>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00826072"/>
        <c:crosses val="autoZero"/>
        <c:crossBetween val="midCat"/>
      </c:valAx>
      <c:valAx>
        <c:axId val="400826072"/>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00824112"/>
        <c:crosses val="autoZero"/>
        <c:crossBetween val="midCat"/>
      </c:valAx>
    </c:plotArea>
    <c:legend>
      <c:legendPos val="r"/>
      <c:layout>
        <c:manualLayout>
          <c:xMode val="edge"/>
          <c:yMode val="edge"/>
          <c:x val="0.71247953183067303"/>
          <c:y val="0.42105328939145797"/>
          <c:w val="0.27667340633053783"/>
          <c:h val="0.14787000309171877"/>
        </c:manualLayout>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drawings/_rels/drawing10.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9.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784860</xdr:colOff>
      <xdr:row>69</xdr:row>
      <xdr:rowOff>106680</xdr:rowOff>
    </xdr:from>
    <xdr:to>
      <xdr:col>2</xdr:col>
      <xdr:colOff>701040</xdr:colOff>
      <xdr:row>70</xdr:row>
      <xdr:rowOff>76200</xdr:rowOff>
    </xdr:to>
    <xdr:cxnSp macro="">
      <xdr:nvCxnSpPr>
        <xdr:cNvPr id="3" name="Straight Arrow Connector 2"/>
        <xdr:cNvCxnSpPr/>
      </xdr:nvCxnSpPr>
      <xdr:spPr bwMode="auto">
        <a:xfrm flipH="1">
          <a:off x="998220" y="11833860"/>
          <a:ext cx="1242060" cy="144780"/>
        </a:xfrm>
        <a:prstGeom prst="straightConnector1">
          <a:avLst/>
        </a:prstGeom>
        <a:ln>
          <a:headEnd type="none" w="med" len="med"/>
          <a:tailEnd type="arrow"/>
        </a:ln>
      </xdr:spPr>
      <xdr:style>
        <a:lnRef idx="3">
          <a:schemeClr val="accent1"/>
        </a:lnRef>
        <a:fillRef idx="0">
          <a:schemeClr val="accent1"/>
        </a:fillRef>
        <a:effectRef idx="2">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8</xdr:col>
      <xdr:colOff>464820</xdr:colOff>
      <xdr:row>73</xdr:row>
      <xdr:rowOff>0</xdr:rowOff>
    </xdr:from>
    <xdr:to>
      <xdr:col>18</xdr:col>
      <xdr:colOff>525780</xdr:colOff>
      <xdr:row>99</xdr:row>
      <xdr:rowOff>0</xdr:rowOff>
    </xdr:to>
    <xdr:graphicFrame macro="">
      <xdr:nvGraphicFramePr>
        <xdr:cNvPr id="4917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350520</xdr:colOff>
      <xdr:row>41</xdr:row>
      <xdr:rowOff>60960</xdr:rowOff>
    </xdr:from>
    <xdr:to>
      <xdr:col>20</xdr:col>
      <xdr:colOff>205740</xdr:colOff>
      <xdr:row>58</xdr:row>
      <xdr:rowOff>137160</xdr:rowOff>
    </xdr:to>
    <xdr:graphicFrame macro="">
      <xdr:nvGraphicFramePr>
        <xdr:cNvPr id="49180"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0</xdr:colOff>
      <xdr:row>27</xdr:row>
      <xdr:rowOff>0</xdr:rowOff>
    </xdr:from>
    <xdr:to>
      <xdr:col>11</xdr:col>
      <xdr:colOff>53340</xdr:colOff>
      <xdr:row>27</xdr:row>
      <xdr:rowOff>0</xdr:rowOff>
    </xdr:to>
    <xdr:graphicFrame macro="">
      <xdr:nvGraphicFramePr>
        <xdr:cNvPr id="5226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541020</xdr:colOff>
      <xdr:row>32</xdr:row>
      <xdr:rowOff>30480</xdr:rowOff>
    </xdr:from>
    <xdr:to>
      <xdr:col>13</xdr:col>
      <xdr:colOff>411480</xdr:colOff>
      <xdr:row>47</xdr:row>
      <xdr:rowOff>129540</xdr:rowOff>
    </xdr:to>
    <xdr:graphicFrame macro="">
      <xdr:nvGraphicFramePr>
        <xdr:cNvPr id="5226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541020</xdr:colOff>
      <xdr:row>10</xdr:row>
      <xdr:rowOff>30480</xdr:rowOff>
    </xdr:from>
    <xdr:to>
      <xdr:col>13</xdr:col>
      <xdr:colOff>411480</xdr:colOff>
      <xdr:row>26</xdr:row>
      <xdr:rowOff>76200</xdr:rowOff>
    </xdr:to>
    <xdr:graphicFrame macro="">
      <xdr:nvGraphicFramePr>
        <xdr:cNvPr id="52266"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487680</xdr:colOff>
      <xdr:row>34</xdr:row>
      <xdr:rowOff>38100</xdr:rowOff>
    </xdr:from>
    <xdr:to>
      <xdr:col>14</xdr:col>
      <xdr:colOff>121920</xdr:colOff>
      <xdr:row>53</xdr:row>
      <xdr:rowOff>83820</xdr:rowOff>
    </xdr:to>
    <xdr:graphicFrame macro="">
      <xdr:nvGraphicFramePr>
        <xdr:cNvPr id="5633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8</xdr:col>
      <xdr:colOff>419100</xdr:colOff>
      <xdr:row>40</xdr:row>
      <xdr:rowOff>76200</xdr:rowOff>
    </xdr:from>
    <xdr:to>
      <xdr:col>14</xdr:col>
      <xdr:colOff>251460</xdr:colOff>
      <xdr:row>53</xdr:row>
      <xdr:rowOff>144780</xdr:rowOff>
    </xdr:to>
    <xdr:graphicFrame macro="">
      <xdr:nvGraphicFramePr>
        <xdr:cNvPr id="5839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464820</xdr:colOff>
      <xdr:row>54</xdr:row>
      <xdr:rowOff>60960</xdr:rowOff>
    </xdr:from>
    <xdr:to>
      <xdr:col>14</xdr:col>
      <xdr:colOff>396240</xdr:colOff>
      <xdr:row>69</xdr:row>
      <xdr:rowOff>99060</xdr:rowOff>
    </xdr:to>
    <xdr:graphicFrame macro="">
      <xdr:nvGraphicFramePr>
        <xdr:cNvPr id="58396"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7</xdr:col>
      <xdr:colOff>121920</xdr:colOff>
      <xdr:row>22</xdr:row>
      <xdr:rowOff>15240</xdr:rowOff>
    </xdr:from>
    <xdr:to>
      <xdr:col>14</xdr:col>
      <xdr:colOff>121920</xdr:colOff>
      <xdr:row>44</xdr:row>
      <xdr:rowOff>60960</xdr:rowOff>
    </xdr:to>
    <xdr:graphicFrame macro="">
      <xdr:nvGraphicFramePr>
        <xdr:cNvPr id="61454"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oneCell">
    <xdr:from>
      <xdr:col>9</xdr:col>
      <xdr:colOff>20955</xdr:colOff>
      <xdr:row>311</xdr:row>
      <xdr:rowOff>22860</xdr:rowOff>
    </xdr:from>
    <xdr:to>
      <xdr:col>18</xdr:col>
      <xdr:colOff>289560</xdr:colOff>
      <xdr:row>336</xdr:row>
      <xdr:rowOff>53340</xdr:rowOff>
    </xdr:to>
    <xdr:pic>
      <xdr:nvPicPr>
        <xdr:cNvPr id="10279"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174355" y="48581310"/>
          <a:ext cx="6993255" cy="3840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510540</xdr:colOff>
      <xdr:row>81</xdr:row>
      <xdr:rowOff>30480</xdr:rowOff>
    </xdr:from>
    <xdr:to>
      <xdr:col>16</xdr:col>
      <xdr:colOff>381000</xdr:colOff>
      <xdr:row>111</xdr:row>
      <xdr:rowOff>121920</xdr:rowOff>
    </xdr:to>
    <xdr:graphicFrame macro="">
      <xdr:nvGraphicFramePr>
        <xdr:cNvPr id="10280"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0.172</cdr:x>
      <cdr:y>0.19755</cdr:y>
    </cdr:from>
    <cdr:to>
      <cdr:x>0.36801</cdr:x>
      <cdr:y>0.34645</cdr:y>
    </cdr:to>
    <cdr:sp macro="" textlink="">
      <cdr:nvSpPr>
        <cdr:cNvPr id="2" name="TextBox 11"/>
        <cdr:cNvSpPr txBox="1"/>
      </cdr:nvSpPr>
      <cdr:spPr>
        <a:xfrm xmlns:a="http://schemas.openxmlformats.org/drawingml/2006/main">
          <a:off x="1091763" y="888145"/>
          <a:ext cx="1244166" cy="669414"/>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xmlns:a="http://schemas.openxmlformats.org/drawingml/2006/main">
          <a:pPr>
            <a:lnSpc>
              <a:spcPts val="900"/>
            </a:lnSpc>
          </a:pPr>
          <a:r>
            <a:rPr lang="en-US" sz="1100" b="1" dirty="0">
              <a:solidFill>
                <a:schemeClr val="tx2">
                  <a:lumMod val="25000"/>
                </a:schemeClr>
              </a:solidFill>
              <a:latin typeface="Arial" pitchFamily="34" charset="0"/>
              <a:cs typeface="Arial" pitchFamily="34" charset="0"/>
            </a:rPr>
            <a:t>Ascending curve is based on yield response &amp; is crop dependent</a:t>
          </a:r>
        </a:p>
      </cdr:txBody>
    </cdr:sp>
  </cdr:relSizeAnchor>
  <cdr:relSizeAnchor xmlns:cdr="http://schemas.openxmlformats.org/drawingml/2006/chartDrawing">
    <cdr:from>
      <cdr:x>0.57719</cdr:x>
      <cdr:y>0.46697</cdr:y>
    </cdr:from>
    <cdr:to>
      <cdr:x>0.80318</cdr:x>
      <cdr:y>0.69137</cdr:y>
    </cdr:to>
    <cdr:sp macro="" textlink="">
      <cdr:nvSpPr>
        <cdr:cNvPr id="3" name="Rectangle 2"/>
        <cdr:cNvSpPr/>
      </cdr:nvSpPr>
      <cdr:spPr>
        <a:xfrm xmlns:a="http://schemas.openxmlformats.org/drawingml/2006/main">
          <a:off x="5014104" y="2965330"/>
          <a:ext cx="1967901" cy="1398721"/>
        </a:xfrm>
        <a:prstGeom xmlns:a="http://schemas.openxmlformats.org/drawingml/2006/main" prst="rect">
          <a:avLst/>
        </a:prstGeom>
      </cdr:spPr>
      <cdr:txBody>
        <a:bodyPr xmlns:a="http://schemas.openxmlformats.org/drawingml/2006/main" wrap="square">
          <a:noAutofit/>
        </a:bodyPr>
        <a:lstStyle xmlns:a="http://schemas.openxmlformats.org/drawingml/2006/main">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xmlns:a="http://schemas.openxmlformats.org/drawingml/2006/main">
          <a:r>
            <a:rPr lang="en-US" sz="1050" b="1" dirty="0" smtClean="0">
              <a:solidFill>
                <a:schemeClr val="tx2">
                  <a:lumMod val="25000"/>
                </a:schemeClr>
              </a:solidFill>
              <a:latin typeface="Arial" pitchFamily="34" charset="0"/>
              <a:cs typeface="Arial" pitchFamily="34" charset="0"/>
            </a:rPr>
            <a:t>Descending </a:t>
          </a:r>
          <a:r>
            <a:rPr lang="en-US" sz="1050" b="1" dirty="0">
              <a:solidFill>
                <a:schemeClr val="tx2">
                  <a:lumMod val="25000"/>
                </a:schemeClr>
              </a:solidFill>
              <a:latin typeface="Arial" pitchFamily="34" charset="0"/>
              <a:cs typeface="Arial" pitchFamily="34" charset="0"/>
            </a:rPr>
            <a:t>curve is b</a:t>
          </a:r>
          <a:r>
            <a:rPr lang="en-US" sz="1050" b="1" dirty="0" smtClean="0">
              <a:solidFill>
                <a:schemeClr val="tx2">
                  <a:lumMod val="25000"/>
                </a:schemeClr>
              </a:solidFill>
              <a:latin typeface="Arial" pitchFamily="34" charset="0"/>
              <a:cs typeface="Arial" pitchFamily="34" charset="0"/>
            </a:rPr>
            <a:t>ased </a:t>
          </a:r>
          <a:r>
            <a:rPr lang="en-US" sz="1050" b="1" dirty="0">
              <a:solidFill>
                <a:schemeClr val="tx2">
                  <a:lumMod val="25000"/>
                </a:schemeClr>
              </a:solidFill>
              <a:latin typeface="Arial" pitchFamily="34" charset="0"/>
              <a:cs typeface="Arial" pitchFamily="34" charset="0"/>
            </a:rPr>
            <a:t>on risk of P</a:t>
          </a:r>
          <a:br>
            <a:rPr lang="en-US" sz="1050" b="1" dirty="0">
              <a:solidFill>
                <a:schemeClr val="tx2">
                  <a:lumMod val="25000"/>
                </a:schemeClr>
              </a:solidFill>
              <a:latin typeface="Arial" pitchFamily="34" charset="0"/>
              <a:cs typeface="Arial" pitchFamily="34" charset="0"/>
            </a:rPr>
          </a:br>
          <a:r>
            <a:rPr lang="en-US" sz="1050" b="1" baseline="0" dirty="0">
              <a:solidFill>
                <a:schemeClr val="tx2">
                  <a:lumMod val="25000"/>
                </a:schemeClr>
              </a:solidFill>
              <a:latin typeface="Arial" pitchFamily="34" charset="0"/>
              <a:cs typeface="Arial" pitchFamily="34" charset="0"/>
            </a:rPr>
            <a:t> </a:t>
          </a:r>
          <a:r>
            <a:rPr lang="en-US" sz="1050" b="1" dirty="0" smtClean="0">
              <a:solidFill>
                <a:schemeClr val="tx2">
                  <a:lumMod val="25000"/>
                </a:schemeClr>
              </a:solidFill>
              <a:latin typeface="Arial" pitchFamily="34" charset="0"/>
              <a:cs typeface="Arial" pitchFamily="34" charset="0"/>
            </a:rPr>
            <a:t>runoff </a:t>
          </a:r>
          <a:r>
            <a:rPr lang="en-US" sz="1050" b="1" dirty="0">
              <a:solidFill>
                <a:schemeClr val="tx2">
                  <a:lumMod val="25000"/>
                </a:schemeClr>
              </a:solidFill>
              <a:latin typeface="Arial" pitchFamily="34" charset="0"/>
              <a:cs typeface="Arial" pitchFamily="34" charset="0"/>
            </a:rPr>
            <a:t>to d</a:t>
          </a:r>
          <a:r>
            <a:rPr lang="en-US" sz="1050" b="1" dirty="0" smtClean="0">
              <a:solidFill>
                <a:schemeClr val="tx2">
                  <a:lumMod val="25000"/>
                </a:schemeClr>
              </a:solidFill>
              <a:latin typeface="Arial" pitchFamily="34" charset="0"/>
              <a:cs typeface="Arial" pitchFamily="34" charset="0"/>
            </a:rPr>
            <a:t>itches &amp; </a:t>
          </a:r>
          <a:br>
            <a:rPr lang="en-US" sz="1050" b="1" dirty="0" smtClean="0">
              <a:solidFill>
                <a:schemeClr val="tx2">
                  <a:lumMod val="25000"/>
                </a:schemeClr>
              </a:solidFill>
              <a:latin typeface="Arial" pitchFamily="34" charset="0"/>
              <a:cs typeface="Arial" pitchFamily="34" charset="0"/>
            </a:rPr>
          </a:br>
          <a:r>
            <a:rPr lang="en-US" sz="1050" b="1" dirty="0" smtClean="0">
              <a:solidFill>
                <a:schemeClr val="tx2">
                  <a:lumMod val="25000"/>
                </a:schemeClr>
              </a:solidFill>
              <a:latin typeface="Arial" pitchFamily="34" charset="0"/>
              <a:cs typeface="Arial" pitchFamily="34" charset="0"/>
            </a:rPr>
            <a:t>   streams </a:t>
          </a:r>
          <a:r>
            <a:rPr lang="en-US" sz="1050" b="1" dirty="0">
              <a:solidFill>
                <a:schemeClr val="tx2">
                  <a:lumMod val="25000"/>
                </a:schemeClr>
              </a:solidFill>
              <a:latin typeface="Arial" pitchFamily="34" charset="0"/>
              <a:cs typeface="Arial" pitchFamily="34" charset="0"/>
            </a:rPr>
            <a:t>&amp; </a:t>
          </a:r>
          <a:r>
            <a:rPr lang="en-US" sz="1050" b="1" dirty="0" smtClean="0">
              <a:solidFill>
                <a:schemeClr val="tx2">
                  <a:lumMod val="25000"/>
                </a:schemeClr>
              </a:solidFill>
              <a:latin typeface="Arial" pitchFamily="34" charset="0"/>
              <a:cs typeface="Arial" pitchFamily="34" charset="0"/>
            </a:rPr>
            <a:t>is </a:t>
          </a:r>
          <a:r>
            <a:rPr lang="en-US" sz="1050" b="1" dirty="0">
              <a:solidFill>
                <a:schemeClr val="tx2">
                  <a:lumMod val="25000"/>
                </a:schemeClr>
              </a:solidFill>
              <a:latin typeface="Arial" pitchFamily="34" charset="0"/>
              <a:cs typeface="Arial" pitchFamily="34" charset="0"/>
            </a:rPr>
            <a:t>slope </a:t>
          </a:r>
          <a:br>
            <a:rPr lang="en-US" sz="1050" b="1" dirty="0">
              <a:solidFill>
                <a:schemeClr val="tx2">
                  <a:lumMod val="25000"/>
                </a:schemeClr>
              </a:solidFill>
              <a:latin typeface="Arial" pitchFamily="34" charset="0"/>
              <a:cs typeface="Arial" pitchFamily="34" charset="0"/>
            </a:rPr>
          </a:br>
          <a:r>
            <a:rPr lang="en-US" sz="1050" b="1" dirty="0">
              <a:solidFill>
                <a:schemeClr val="tx2">
                  <a:lumMod val="25000"/>
                </a:schemeClr>
              </a:solidFill>
              <a:latin typeface="Arial" pitchFamily="34" charset="0"/>
              <a:cs typeface="Arial" pitchFamily="34" charset="0"/>
            </a:rPr>
            <a:t>    d</a:t>
          </a:r>
          <a:r>
            <a:rPr lang="en-US" sz="1050" b="1" dirty="0" smtClean="0">
              <a:solidFill>
                <a:schemeClr val="tx2">
                  <a:lumMod val="25000"/>
                </a:schemeClr>
              </a:solidFill>
              <a:latin typeface="Arial" pitchFamily="34" charset="0"/>
              <a:cs typeface="Arial" pitchFamily="34" charset="0"/>
            </a:rPr>
            <a:t>ependent</a:t>
          </a:r>
          <a:endParaRPr lang="en-US" sz="900" b="1" dirty="0">
            <a:solidFill>
              <a:schemeClr val="tx2">
                <a:lumMod val="25000"/>
              </a:schemeClr>
            </a:solidFill>
            <a:latin typeface="Arial" pitchFamily="34" charset="0"/>
            <a:cs typeface="Arial" pitchFamily="34" charset="0"/>
          </a:endParaRPr>
        </a:p>
      </cdr:txBody>
    </cdr:sp>
  </cdr:relSizeAnchor>
</c:userShapes>
</file>

<file path=xl/drawings/drawing17.xml><?xml version="1.0" encoding="utf-8"?>
<xdr:wsDr xmlns:xdr="http://schemas.openxmlformats.org/drawingml/2006/spreadsheetDrawing" xmlns:a="http://schemas.openxmlformats.org/drawingml/2006/main">
  <xdr:twoCellAnchor>
    <xdr:from>
      <xdr:col>5</xdr:col>
      <xdr:colOff>441960</xdr:colOff>
      <xdr:row>13</xdr:row>
      <xdr:rowOff>0</xdr:rowOff>
    </xdr:from>
    <xdr:to>
      <xdr:col>13</xdr:col>
      <xdr:colOff>403860</xdr:colOff>
      <xdr:row>30</xdr:row>
      <xdr:rowOff>0</xdr:rowOff>
    </xdr:to>
    <xdr:graphicFrame macro="">
      <xdr:nvGraphicFramePr>
        <xdr:cNvPr id="6452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9</xdr:col>
      <xdr:colOff>335280</xdr:colOff>
      <xdr:row>3</xdr:row>
      <xdr:rowOff>144780</xdr:rowOff>
    </xdr:from>
    <xdr:to>
      <xdr:col>25</xdr:col>
      <xdr:colOff>0</xdr:colOff>
      <xdr:row>36</xdr:row>
      <xdr:rowOff>129540</xdr:rowOff>
    </xdr:to>
    <xdr:graphicFrame macro="">
      <xdr:nvGraphicFramePr>
        <xdr:cNvPr id="66574"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4</xdr:col>
      <xdr:colOff>7620</xdr:colOff>
      <xdr:row>28</xdr:row>
      <xdr:rowOff>45720</xdr:rowOff>
    </xdr:from>
    <xdr:to>
      <xdr:col>12</xdr:col>
      <xdr:colOff>45720</xdr:colOff>
      <xdr:row>44</xdr:row>
      <xdr:rowOff>91440</xdr:rowOff>
    </xdr:to>
    <xdr:graphicFrame macro="">
      <xdr:nvGraphicFramePr>
        <xdr:cNvPr id="68635"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541020</xdr:colOff>
      <xdr:row>48</xdr:row>
      <xdr:rowOff>0</xdr:rowOff>
    </xdr:from>
    <xdr:to>
      <xdr:col>12</xdr:col>
      <xdr:colOff>53340</xdr:colOff>
      <xdr:row>66</xdr:row>
      <xdr:rowOff>0</xdr:rowOff>
    </xdr:to>
    <xdr:graphicFrame macro="">
      <xdr:nvGraphicFramePr>
        <xdr:cNvPr id="68636"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136</xdr:col>
      <xdr:colOff>23707</xdr:colOff>
      <xdr:row>2</xdr:row>
      <xdr:rowOff>8466</xdr:rowOff>
    </xdr:from>
    <xdr:to>
      <xdr:col>136</xdr:col>
      <xdr:colOff>84667</xdr:colOff>
      <xdr:row>10</xdr:row>
      <xdr:rowOff>25400</xdr:rowOff>
    </xdr:to>
    <xdr:cxnSp macro="">
      <xdr:nvCxnSpPr>
        <xdr:cNvPr id="3" name="Straight Arrow Connector 2"/>
        <xdr:cNvCxnSpPr/>
      </xdr:nvCxnSpPr>
      <xdr:spPr bwMode="auto">
        <a:xfrm>
          <a:off x="78018640" y="245533"/>
          <a:ext cx="60960" cy="1600200"/>
        </a:xfrm>
        <a:prstGeom prst="straightConnector1">
          <a:avLst/>
        </a:prstGeom>
        <a:ln>
          <a:headEnd type="none" w="med" len="med"/>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139</xdr:col>
      <xdr:colOff>474133</xdr:colOff>
      <xdr:row>2</xdr:row>
      <xdr:rowOff>42333</xdr:rowOff>
    </xdr:from>
    <xdr:to>
      <xdr:col>139</xdr:col>
      <xdr:colOff>533400</xdr:colOff>
      <xdr:row>10</xdr:row>
      <xdr:rowOff>42334</xdr:rowOff>
    </xdr:to>
    <xdr:cxnSp macro="">
      <xdr:nvCxnSpPr>
        <xdr:cNvPr id="4" name="Straight Arrow Connector 3"/>
        <xdr:cNvCxnSpPr/>
      </xdr:nvCxnSpPr>
      <xdr:spPr bwMode="auto">
        <a:xfrm flipH="1">
          <a:off x="80365600" y="279400"/>
          <a:ext cx="59267" cy="1583267"/>
        </a:xfrm>
        <a:prstGeom prst="straightConnector1">
          <a:avLst/>
        </a:prstGeom>
        <a:ln>
          <a:headEnd type="none" w="med" len="med"/>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142</xdr:col>
      <xdr:colOff>474133</xdr:colOff>
      <xdr:row>1</xdr:row>
      <xdr:rowOff>193887</xdr:rowOff>
    </xdr:from>
    <xdr:to>
      <xdr:col>142</xdr:col>
      <xdr:colOff>524088</xdr:colOff>
      <xdr:row>10</xdr:row>
      <xdr:rowOff>33867</xdr:rowOff>
    </xdr:to>
    <xdr:cxnSp macro="">
      <xdr:nvCxnSpPr>
        <xdr:cNvPr id="5" name="Straight Arrow Connector 4"/>
        <xdr:cNvCxnSpPr/>
      </xdr:nvCxnSpPr>
      <xdr:spPr bwMode="auto">
        <a:xfrm flipH="1">
          <a:off x="82016600" y="236220"/>
          <a:ext cx="49955" cy="1617980"/>
        </a:xfrm>
        <a:prstGeom prst="straightConnector1">
          <a:avLst/>
        </a:prstGeom>
        <a:ln>
          <a:headEnd type="none" w="med" len="med"/>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144</xdr:col>
      <xdr:colOff>270933</xdr:colOff>
      <xdr:row>2</xdr:row>
      <xdr:rowOff>8466</xdr:rowOff>
    </xdr:from>
    <xdr:to>
      <xdr:col>148</xdr:col>
      <xdr:colOff>127000</xdr:colOff>
      <xdr:row>10</xdr:row>
      <xdr:rowOff>16934</xdr:rowOff>
    </xdr:to>
    <xdr:cxnSp macro="">
      <xdr:nvCxnSpPr>
        <xdr:cNvPr id="6" name="Straight Arrow Connector 5"/>
        <xdr:cNvCxnSpPr/>
      </xdr:nvCxnSpPr>
      <xdr:spPr bwMode="auto">
        <a:xfrm>
          <a:off x="82905600" y="245533"/>
          <a:ext cx="2675467" cy="1591734"/>
        </a:xfrm>
        <a:prstGeom prst="straightConnector1">
          <a:avLst/>
        </a:prstGeom>
        <a:ln>
          <a:headEnd type="none" w="med" len="med"/>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143</xdr:col>
      <xdr:colOff>363220</xdr:colOff>
      <xdr:row>2</xdr:row>
      <xdr:rowOff>4233</xdr:rowOff>
    </xdr:from>
    <xdr:to>
      <xdr:col>145</xdr:col>
      <xdr:colOff>203200</xdr:colOff>
      <xdr:row>10</xdr:row>
      <xdr:rowOff>8467</xdr:rowOff>
    </xdr:to>
    <xdr:cxnSp macro="">
      <xdr:nvCxnSpPr>
        <xdr:cNvPr id="7" name="Straight Arrow Connector 6"/>
        <xdr:cNvCxnSpPr/>
      </xdr:nvCxnSpPr>
      <xdr:spPr bwMode="auto">
        <a:xfrm>
          <a:off x="82464487" y="241300"/>
          <a:ext cx="1025313" cy="1587500"/>
        </a:xfrm>
        <a:prstGeom prst="straightConnector1">
          <a:avLst/>
        </a:prstGeom>
        <a:ln>
          <a:headEnd type="none" w="med" len="med"/>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95</xdr:col>
      <xdr:colOff>592667</xdr:colOff>
      <xdr:row>92</xdr:row>
      <xdr:rowOff>42334</xdr:rowOff>
    </xdr:from>
    <xdr:to>
      <xdr:col>103</xdr:col>
      <xdr:colOff>359833</xdr:colOff>
      <xdr:row>105</xdr:row>
      <xdr:rowOff>169334</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104</xdr:col>
      <xdr:colOff>105832</xdr:colOff>
      <xdr:row>91</xdr:row>
      <xdr:rowOff>158750</xdr:rowOff>
    </xdr:from>
    <xdr:to>
      <xdr:col>110</xdr:col>
      <xdr:colOff>317499</xdr:colOff>
      <xdr:row>105</xdr:row>
      <xdr:rowOff>84666</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88</xdr:col>
      <xdr:colOff>433918</xdr:colOff>
      <xdr:row>92</xdr:row>
      <xdr:rowOff>31751</xdr:rowOff>
    </xdr:from>
    <xdr:to>
      <xdr:col>95</xdr:col>
      <xdr:colOff>529168</xdr:colOff>
      <xdr:row>105</xdr:row>
      <xdr:rowOff>158750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0.59028</cdr:x>
      <cdr:y>0.1583</cdr:y>
    </cdr:from>
    <cdr:to>
      <cdr:x>0.59722</cdr:x>
      <cdr:y>0.87645</cdr:y>
    </cdr:to>
    <cdr:sp macro="" textlink="">
      <cdr:nvSpPr>
        <cdr:cNvPr id="3" name="Straight Connector 2"/>
        <cdr:cNvSpPr/>
      </cdr:nvSpPr>
      <cdr:spPr bwMode="auto">
        <a:xfrm xmlns:a="http://schemas.openxmlformats.org/drawingml/2006/main" flipH="1" flipV="1">
          <a:off x="2698749" y="433916"/>
          <a:ext cx="31750" cy="1968500"/>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wrap="square" lIns="18288" tIns="0" rIns="0" bIns="0" upright="1"/>
        <a:lstStyle xmlns:a="http://schemas.openxmlformats.org/drawingml/2006/main"/>
        <a:p xmlns:a="http://schemas.openxmlformats.org/drawingml/2006/main">
          <a:endParaRPr lang="en-US"/>
        </a:p>
      </cdr:txBody>
    </cdr:sp>
  </cdr:relSizeAnchor>
</c:userShapes>
</file>

<file path=xl/drawings/drawing4.xml><?xml version="1.0" encoding="utf-8"?>
<c:userShapes xmlns:c="http://schemas.openxmlformats.org/drawingml/2006/chart">
  <cdr:relSizeAnchor xmlns:cdr="http://schemas.openxmlformats.org/drawingml/2006/chartDrawing">
    <cdr:from>
      <cdr:x>0.78935</cdr:x>
      <cdr:y>0.1583</cdr:y>
    </cdr:from>
    <cdr:to>
      <cdr:x>0.7963</cdr:x>
      <cdr:y>0.87645</cdr:y>
    </cdr:to>
    <cdr:sp macro="" textlink="">
      <cdr:nvSpPr>
        <cdr:cNvPr id="2" name="Straight Connector 1"/>
        <cdr:cNvSpPr/>
      </cdr:nvSpPr>
      <cdr:spPr bwMode="auto">
        <a:xfrm xmlns:a="http://schemas.openxmlformats.org/drawingml/2006/main" flipH="1" flipV="1">
          <a:off x="3608916" y="433917"/>
          <a:ext cx="31750" cy="1968500"/>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wrap="square" lIns="18288" tIns="0" rIns="0" bIns="0"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endParaRPr lang="en-US"/>
        </a:p>
      </cdr:txBody>
    </cdr:sp>
  </cdr:relSizeAnchor>
</c:userShapes>
</file>

<file path=xl/drawings/drawing5.xml><?xml version="1.0" encoding="utf-8"?>
<c:userShapes xmlns:c="http://schemas.openxmlformats.org/drawingml/2006/chart">
  <cdr:relSizeAnchor xmlns:cdr="http://schemas.openxmlformats.org/drawingml/2006/chartDrawing">
    <cdr:from>
      <cdr:x>0.51389</cdr:x>
      <cdr:y>0.17375</cdr:y>
    </cdr:from>
    <cdr:to>
      <cdr:x>0.52083</cdr:x>
      <cdr:y>0.89189</cdr:y>
    </cdr:to>
    <cdr:sp macro="" textlink="">
      <cdr:nvSpPr>
        <cdr:cNvPr id="2" name="Straight Connector 1"/>
        <cdr:cNvSpPr/>
      </cdr:nvSpPr>
      <cdr:spPr bwMode="auto">
        <a:xfrm xmlns:a="http://schemas.openxmlformats.org/drawingml/2006/main" flipH="1" flipV="1">
          <a:off x="2349500" y="476250"/>
          <a:ext cx="31750" cy="1968500"/>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wrap="square" lIns="18288" tIns="0" rIns="0" bIns="0"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endParaRPr lang="en-US"/>
        </a:p>
      </cdr:txBody>
    </cdr:sp>
  </cdr:relSizeAnchor>
</c:userShapes>
</file>

<file path=xl/drawings/drawing6.xml><?xml version="1.0" encoding="utf-8"?>
<xdr:wsDr xmlns:xdr="http://schemas.openxmlformats.org/drawingml/2006/spreadsheetDrawing" xmlns:a="http://schemas.openxmlformats.org/drawingml/2006/main">
  <xdr:twoCellAnchor>
    <xdr:from>
      <xdr:col>5</xdr:col>
      <xdr:colOff>243840</xdr:colOff>
      <xdr:row>7</xdr:row>
      <xdr:rowOff>121920</xdr:rowOff>
    </xdr:from>
    <xdr:to>
      <xdr:col>17</xdr:col>
      <xdr:colOff>220980</xdr:colOff>
      <xdr:row>39</xdr:row>
      <xdr:rowOff>91440</xdr:rowOff>
    </xdr:to>
    <xdr:graphicFrame macro="">
      <xdr:nvGraphicFramePr>
        <xdr:cNvPr id="3995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68580</xdr:colOff>
      <xdr:row>30</xdr:row>
      <xdr:rowOff>99060</xdr:rowOff>
    </xdr:from>
    <xdr:to>
      <xdr:col>14</xdr:col>
      <xdr:colOff>175260</xdr:colOff>
      <xdr:row>49</xdr:row>
      <xdr:rowOff>0</xdr:rowOff>
    </xdr:to>
    <xdr:graphicFrame macro="">
      <xdr:nvGraphicFramePr>
        <xdr:cNvPr id="4302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220980</xdr:colOff>
      <xdr:row>26</xdr:row>
      <xdr:rowOff>68580</xdr:rowOff>
    </xdr:from>
    <xdr:to>
      <xdr:col>12</xdr:col>
      <xdr:colOff>419100</xdr:colOff>
      <xdr:row>46</xdr:row>
      <xdr:rowOff>45720</xdr:rowOff>
    </xdr:to>
    <xdr:graphicFrame macro="">
      <xdr:nvGraphicFramePr>
        <xdr:cNvPr id="45070"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9</xdr:col>
      <xdr:colOff>297180</xdr:colOff>
      <xdr:row>22</xdr:row>
      <xdr:rowOff>38100</xdr:rowOff>
    </xdr:from>
    <xdr:to>
      <xdr:col>21</xdr:col>
      <xdr:colOff>129540</xdr:colOff>
      <xdr:row>50</xdr:row>
      <xdr:rowOff>45720</xdr:rowOff>
    </xdr:to>
    <xdr:graphicFrame macro="">
      <xdr:nvGraphicFramePr>
        <xdr:cNvPr id="47118"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5.xml"/><Relationship Id="rId1" Type="http://schemas.openxmlformats.org/officeDocument/2006/relationships/printerSettings" Target="../printerSettings/printerSettings9.bin"/><Relationship Id="rId4" Type="http://schemas.openxmlformats.org/officeDocument/2006/relationships/comments" Target="../comments2.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fs.fed.us/rm/pubs_other/wo_ah680/wo_ah680_005_012.pdf" TargetMode="External"/><Relationship Id="rId2" Type="http://schemas.openxmlformats.org/officeDocument/2006/relationships/hyperlink" Target="http://ag.arizona.edu/pubs/crops/az9702.pdf" TargetMode="External"/><Relationship Id="rId1" Type="http://schemas.openxmlformats.org/officeDocument/2006/relationships/hyperlink" Target="http://www1.agric.gov.ab.ca/$department/deptdocs.nsf/all/agdex3303" TargetMode="External"/><Relationship Id="rId6" Type="http://schemas.openxmlformats.org/officeDocument/2006/relationships/printerSettings" Target="../printerSettings/printerSettings1.bin"/><Relationship Id="rId5" Type="http://schemas.openxmlformats.org/officeDocument/2006/relationships/hyperlink" Target="http://www.sfrc.ufl.edu/extension/florida_forestry_information/forest_management/files/SREF-FM-002_soilpH_tree_species_suitability.pdf" TargetMode="External"/><Relationship Id="rId4" Type="http://schemas.openxmlformats.org/officeDocument/2006/relationships/hyperlink" Target="http://www.browardeec.org/documents/enviro_forestry.pdf"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6.bin"/><Relationship Id="rId1" Type="http://schemas.openxmlformats.org/officeDocument/2006/relationships/hyperlink" Target="http://www1.agric.gov.ab.ca/$department/deptdocs.nsf/all/agdex3303;%20moderately%20sensitive:%20Saini,%20197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workbookViewId="0">
      <selection activeCell="C29" sqref="C29"/>
    </sheetView>
  </sheetViews>
  <sheetFormatPr defaultColWidth="12.09765625" defaultRowHeight="15.5"/>
  <cols>
    <col min="1" max="1" width="10.69921875" style="616" customWidth="1"/>
    <col min="2" max="2" width="12.09765625" style="616"/>
    <col min="3" max="3" width="202.3984375" style="615" customWidth="1"/>
    <col min="4" max="16384" width="12.09765625" style="615"/>
  </cols>
  <sheetData>
    <row r="1" spans="1:4">
      <c r="A1" s="613" t="s">
        <v>311</v>
      </c>
      <c r="B1" s="613" t="s">
        <v>312</v>
      </c>
      <c r="C1" s="614" t="s">
        <v>313</v>
      </c>
      <c r="D1" s="614"/>
    </row>
    <row r="2" spans="1:4" ht="19.5" customHeight="1">
      <c r="A2" s="616">
        <v>1</v>
      </c>
      <c r="B2" s="617">
        <v>40990</v>
      </c>
      <c r="C2" s="615" t="s">
        <v>356</v>
      </c>
    </row>
    <row r="3" spans="1:4" ht="19.5" customHeight="1">
      <c r="A3" s="616">
        <v>2</v>
      </c>
      <c r="B3" s="617">
        <v>40990</v>
      </c>
      <c r="C3" s="615" t="s">
        <v>357</v>
      </c>
    </row>
    <row r="4" spans="1:4" ht="19.5" customHeight="1">
      <c r="A4" s="616">
        <f>A3+1</f>
        <v>3</v>
      </c>
      <c r="B4" s="617">
        <v>40990</v>
      </c>
      <c r="C4" s="615" t="s">
        <v>358</v>
      </c>
    </row>
    <row r="5" spans="1:4" ht="19.5" customHeight="1">
      <c r="A5" s="616">
        <f t="shared" ref="A5:A20" si="0">A4+1</f>
        <v>4</v>
      </c>
      <c r="B5" s="617">
        <v>40991</v>
      </c>
      <c r="C5" s="615" t="s">
        <v>359</v>
      </c>
    </row>
    <row r="6" spans="1:4" ht="19.5" customHeight="1">
      <c r="A6" s="616">
        <f t="shared" si="0"/>
        <v>5</v>
      </c>
      <c r="B6" s="617">
        <v>40991</v>
      </c>
      <c r="C6" s="615" t="s">
        <v>360</v>
      </c>
    </row>
    <row r="7" spans="1:4" ht="19.5" customHeight="1">
      <c r="A7" s="616">
        <f t="shared" si="0"/>
        <v>6</v>
      </c>
      <c r="B7" s="617">
        <v>40994</v>
      </c>
      <c r="C7" s="615" t="s">
        <v>361</v>
      </c>
    </row>
    <row r="8" spans="1:4" ht="19.5" customHeight="1">
      <c r="A8" s="616">
        <f t="shared" si="0"/>
        <v>7</v>
      </c>
      <c r="B8" s="617">
        <v>40994</v>
      </c>
      <c r="C8" s="615" t="s">
        <v>362</v>
      </c>
    </row>
    <row r="9" spans="1:4" ht="19.5" customHeight="1">
      <c r="A9" s="616">
        <f t="shared" si="0"/>
        <v>8</v>
      </c>
      <c r="B9" s="617">
        <v>40994</v>
      </c>
      <c r="C9" s="615" t="s">
        <v>363</v>
      </c>
    </row>
    <row r="10" spans="1:4" ht="19.5" customHeight="1">
      <c r="A10" s="616">
        <f t="shared" si="0"/>
        <v>9</v>
      </c>
      <c r="B10" s="617">
        <v>40995</v>
      </c>
      <c r="C10" s="615" t="s">
        <v>354</v>
      </c>
    </row>
    <row r="11" spans="1:4" ht="19.5" customHeight="1">
      <c r="A11" s="616">
        <f t="shared" si="0"/>
        <v>10</v>
      </c>
      <c r="B11" s="617">
        <v>40995</v>
      </c>
      <c r="C11" s="615" t="s">
        <v>355</v>
      </c>
    </row>
    <row r="12" spans="1:4" ht="19.5" customHeight="1">
      <c r="B12" s="617"/>
      <c r="C12" s="615" t="s">
        <v>364</v>
      </c>
    </row>
    <row r="13" spans="1:4" ht="19.5" customHeight="1">
      <c r="A13" s="616">
        <f>A11+1</f>
        <v>11</v>
      </c>
      <c r="B13" s="617">
        <v>41030</v>
      </c>
      <c r="C13" s="615" t="s">
        <v>377</v>
      </c>
    </row>
    <row r="14" spans="1:4" ht="19.5" customHeight="1">
      <c r="A14" s="616">
        <f t="shared" si="0"/>
        <v>12</v>
      </c>
      <c r="B14" s="617">
        <v>41374</v>
      </c>
      <c r="C14" s="615" t="s">
        <v>413</v>
      </c>
    </row>
    <row r="15" spans="1:4" ht="19.5" customHeight="1">
      <c r="A15" s="616">
        <f t="shared" si="0"/>
        <v>13</v>
      </c>
      <c r="B15" s="617">
        <v>41374</v>
      </c>
      <c r="C15" s="615" t="s">
        <v>426</v>
      </c>
    </row>
    <row r="16" spans="1:4" ht="19.5" customHeight="1">
      <c r="A16" s="616">
        <f t="shared" si="0"/>
        <v>14</v>
      </c>
      <c r="B16" s="617">
        <v>41374</v>
      </c>
      <c r="C16" s="615" t="s">
        <v>427</v>
      </c>
    </row>
    <row r="17" spans="1:5" ht="19.5" customHeight="1">
      <c r="A17" s="616">
        <f t="shared" si="0"/>
        <v>15</v>
      </c>
      <c r="B17" s="617">
        <v>41374</v>
      </c>
      <c r="C17" s="615" t="s">
        <v>428</v>
      </c>
    </row>
    <row r="18" spans="1:5" ht="19.5" customHeight="1">
      <c r="A18" s="616">
        <f t="shared" si="0"/>
        <v>16</v>
      </c>
      <c r="B18" s="617">
        <v>41387</v>
      </c>
      <c r="C18" s="615" t="s">
        <v>462</v>
      </c>
      <c r="D18" s="66"/>
      <c r="E18" s="97"/>
    </row>
    <row r="19" spans="1:5" ht="19.5" customHeight="1">
      <c r="A19" s="616">
        <f t="shared" si="0"/>
        <v>17</v>
      </c>
      <c r="B19" s="617"/>
      <c r="C19" s="615" t="s">
        <v>463</v>
      </c>
    </row>
    <row r="20" spans="1:5" ht="19.5" customHeight="1">
      <c r="A20" s="616">
        <f t="shared" si="0"/>
        <v>18</v>
      </c>
      <c r="B20" s="617">
        <v>41414</v>
      </c>
      <c r="C20" s="615" t="s">
        <v>556</v>
      </c>
    </row>
    <row r="21" spans="1:5" ht="19.5" customHeight="1">
      <c r="A21" s="616">
        <v>19</v>
      </c>
      <c r="B21" s="1304">
        <v>42193</v>
      </c>
      <c r="C21" s="1306" t="s">
        <v>1294</v>
      </c>
    </row>
    <row r="22" spans="1:5" ht="19.5" customHeight="1">
      <c r="B22" s="1304">
        <v>42193</v>
      </c>
      <c r="C22" s="1306" t="s">
        <v>1295</v>
      </c>
    </row>
    <row r="23" spans="1:5" ht="19.5" customHeight="1">
      <c r="B23" s="1304">
        <v>42194</v>
      </c>
      <c r="C23" s="1252" t="s">
        <v>1296</v>
      </c>
    </row>
    <row r="24" spans="1:5" ht="19.5" customHeight="1"/>
    <row r="25" spans="1:5" ht="19.5" customHeight="1"/>
    <row r="26" spans="1:5" ht="19.5" customHeight="1"/>
    <row r="27" spans="1:5" ht="19.5" customHeight="1"/>
    <row r="28" spans="1:5" ht="19.5" customHeight="1"/>
    <row r="29" spans="1:5" ht="19.5" customHeight="1"/>
    <row r="30" spans="1:5" ht="19.5" customHeight="1"/>
    <row r="31" spans="1:5" ht="19.5" customHeight="1"/>
  </sheetData>
  <phoneticPr fontId="13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9"/>
  <sheetViews>
    <sheetView workbookViewId="0">
      <selection activeCell="A5" sqref="A5:G5"/>
    </sheetView>
  </sheetViews>
  <sheetFormatPr defaultRowHeight="11.5"/>
  <sheetData>
    <row r="1" spans="1:15" ht="15.5">
      <c r="A1" s="59" t="s">
        <v>234</v>
      </c>
      <c r="B1" s="60"/>
      <c r="C1" s="60"/>
      <c r="D1" s="60"/>
      <c r="E1" s="60"/>
      <c r="F1" s="60"/>
      <c r="H1" s="60"/>
      <c r="I1" s="141" t="s">
        <v>235</v>
      </c>
      <c r="J1" s="60"/>
      <c r="K1" s="60"/>
      <c r="L1" s="60"/>
      <c r="M1" s="60"/>
      <c r="N1" s="60"/>
    </row>
    <row r="2" spans="1:15">
      <c r="A2" s="61"/>
      <c r="B2" s="61"/>
      <c r="C2" s="61"/>
      <c r="D2" s="61"/>
      <c r="E2" s="61"/>
      <c r="F2" s="61"/>
      <c r="G2" s="62"/>
      <c r="H2" s="62"/>
      <c r="I2" s="62"/>
      <c r="J2" s="62"/>
      <c r="K2" s="61"/>
      <c r="L2" s="61"/>
      <c r="M2" s="61"/>
      <c r="N2" s="61"/>
    </row>
    <row r="3" spans="1:15" ht="13">
      <c r="A3" s="63" t="s">
        <v>236</v>
      </c>
      <c r="B3" s="61"/>
      <c r="C3" s="61"/>
      <c r="D3" s="61"/>
      <c r="E3" s="64"/>
      <c r="F3" s="61"/>
      <c r="G3" s="62"/>
      <c r="H3" s="62"/>
      <c r="I3" s="62"/>
      <c r="J3" s="62"/>
      <c r="K3" s="61"/>
      <c r="L3" s="61"/>
      <c r="M3" s="61"/>
      <c r="N3" s="61"/>
    </row>
    <row r="4" spans="1:15" ht="13">
      <c r="A4" s="110" t="s">
        <v>237</v>
      </c>
      <c r="B4" s="61"/>
      <c r="C4" s="61"/>
      <c r="D4" s="61"/>
      <c r="F4" s="64" t="s">
        <v>238</v>
      </c>
      <c r="G4" s="62"/>
      <c r="H4" s="62"/>
      <c r="I4" s="62"/>
      <c r="J4" s="62"/>
      <c r="K4" s="61"/>
      <c r="L4" s="61"/>
      <c r="M4" s="61"/>
      <c r="N4" s="61"/>
    </row>
    <row r="5" spans="1:15">
      <c r="A5" s="61" t="s">
        <v>239</v>
      </c>
      <c r="B5" s="61"/>
      <c r="C5" s="61"/>
      <c r="D5" s="61"/>
      <c r="E5" s="61"/>
      <c r="F5" s="61"/>
      <c r="G5" s="61"/>
      <c r="H5" s="61"/>
      <c r="I5" s="61"/>
      <c r="J5" s="61"/>
      <c r="K5" s="61"/>
      <c r="L5" s="61"/>
      <c r="M5" s="61"/>
      <c r="N5" s="61"/>
    </row>
    <row r="6" spans="1:15">
      <c r="A6" s="61"/>
      <c r="B6" s="61"/>
      <c r="C6" s="61"/>
      <c r="D6" s="61"/>
      <c r="E6" s="61"/>
      <c r="F6" s="61"/>
      <c r="G6" s="61"/>
      <c r="H6" s="61"/>
      <c r="I6" s="61"/>
      <c r="J6" s="61"/>
      <c r="K6" s="61"/>
      <c r="L6" s="61"/>
      <c r="M6" s="61"/>
      <c r="N6" s="61"/>
    </row>
    <row r="7" spans="1:15">
      <c r="A7" s="61"/>
      <c r="B7" s="61"/>
      <c r="C7" s="61"/>
      <c r="D7" s="61"/>
      <c r="E7" s="61"/>
      <c r="F7" s="61"/>
      <c r="G7" s="61"/>
      <c r="H7" s="61"/>
      <c r="I7" s="61"/>
      <c r="J7" s="61"/>
      <c r="K7" s="61"/>
      <c r="L7" s="61"/>
      <c r="M7" s="61"/>
      <c r="N7" s="61"/>
    </row>
    <row r="8" spans="1:15">
      <c r="A8" s="61"/>
      <c r="B8" s="61"/>
      <c r="C8" s="61"/>
      <c r="D8" s="61"/>
      <c r="E8" s="61"/>
      <c r="F8" s="61"/>
      <c r="G8" s="75"/>
      <c r="H8" s="75"/>
      <c r="I8" s="75"/>
      <c r="J8" s="75"/>
      <c r="K8" s="75"/>
      <c r="L8" s="75"/>
      <c r="M8" s="75"/>
      <c r="N8" s="75"/>
    </row>
    <row r="9" spans="1:15" ht="13">
      <c r="A9" s="66" t="s">
        <v>879</v>
      </c>
      <c r="B9" s="67">
        <v>1.0744899999999999</v>
      </c>
      <c r="C9" s="66" t="s">
        <v>863</v>
      </c>
      <c r="D9" s="67">
        <v>-1.3431848999999999E-2</v>
      </c>
      <c r="E9" s="66"/>
      <c r="F9" s="68"/>
      <c r="G9" s="75"/>
      <c r="H9" s="75"/>
      <c r="I9" s="75"/>
      <c r="J9" s="75"/>
      <c r="K9" s="75"/>
      <c r="L9" s="75"/>
      <c r="M9" s="75"/>
      <c r="N9" s="75"/>
    </row>
    <row r="10" spans="1:15" ht="13">
      <c r="A10" s="89"/>
      <c r="B10" s="89"/>
      <c r="C10" s="89"/>
      <c r="D10" s="90"/>
      <c r="E10" s="89"/>
      <c r="F10" s="485"/>
      <c r="G10" s="89"/>
      <c r="H10" s="89"/>
      <c r="I10" s="89"/>
      <c r="J10" s="89"/>
      <c r="K10" s="89"/>
      <c r="L10" s="89"/>
      <c r="M10" s="89"/>
      <c r="N10" s="89"/>
    </row>
    <row r="11" spans="1:15" ht="13">
      <c r="A11" s="280" t="s">
        <v>240</v>
      </c>
      <c r="B11" s="72"/>
      <c r="C11" s="72"/>
      <c r="D11" s="92"/>
      <c r="E11" s="72"/>
      <c r="F11" s="483"/>
      <c r="G11" s="72"/>
      <c r="H11" s="72"/>
      <c r="I11" s="72"/>
      <c r="J11" s="72"/>
      <c r="K11" s="72"/>
      <c r="L11" s="72"/>
      <c r="M11" s="72"/>
      <c r="N11" s="72"/>
      <c r="O11" s="49"/>
    </row>
    <row r="12" spans="1:15" ht="12.5">
      <c r="A12" s="49"/>
      <c r="B12" s="261"/>
      <c r="C12" s="261"/>
      <c r="D12" s="266" t="s">
        <v>241</v>
      </c>
      <c r="E12" s="261"/>
      <c r="F12" s="483"/>
      <c r="G12" s="72"/>
      <c r="H12" s="72"/>
      <c r="I12" s="72"/>
      <c r="J12" s="72"/>
      <c r="K12" s="72"/>
      <c r="L12" s="72"/>
      <c r="M12" s="72"/>
      <c r="N12" s="72"/>
      <c r="O12" s="49"/>
    </row>
    <row r="13" spans="1:15" ht="12.5">
      <c r="A13" s="282" t="s">
        <v>242</v>
      </c>
      <c r="B13" s="282" t="s">
        <v>243</v>
      </c>
      <c r="C13" s="282" t="s">
        <v>244</v>
      </c>
      <c r="D13" s="282" t="s">
        <v>245</v>
      </c>
      <c r="E13" s="282"/>
      <c r="F13" s="49"/>
      <c r="G13" s="49"/>
      <c r="H13" s="49"/>
      <c r="I13" s="49"/>
      <c r="J13" s="49"/>
      <c r="K13" s="49"/>
      <c r="L13" s="49"/>
      <c r="M13" s="49"/>
      <c r="N13" s="49"/>
      <c r="O13" s="49"/>
    </row>
    <row r="14" spans="1:15">
      <c r="A14" s="283">
        <v>0</v>
      </c>
      <c r="B14" s="284">
        <f t="shared" ref="B14:B21" si="0">($B$9*(1-EXP($D$9*A14)))</f>
        <v>0</v>
      </c>
      <c r="C14" s="509">
        <v>0</v>
      </c>
      <c r="D14" s="509">
        <v>100</v>
      </c>
      <c r="E14" s="284"/>
      <c r="F14" s="49"/>
      <c r="G14" s="49"/>
      <c r="H14" s="49"/>
      <c r="I14" s="49"/>
      <c r="J14" s="49"/>
      <c r="K14" s="49"/>
      <c r="L14" s="49"/>
      <c r="M14" s="49"/>
      <c r="N14" s="49"/>
      <c r="O14" s="49"/>
    </row>
    <row r="15" spans="1:15">
      <c r="A15" s="283">
        <v>40</v>
      </c>
      <c r="B15" s="284">
        <f t="shared" si="0"/>
        <v>0.4466235721212089</v>
      </c>
      <c r="C15" s="509">
        <v>50</v>
      </c>
      <c r="D15" s="509">
        <v>80</v>
      </c>
      <c r="E15" s="284"/>
      <c r="F15" s="49"/>
      <c r="G15" s="49"/>
      <c r="H15" s="49"/>
      <c r="I15" s="49"/>
      <c r="J15" s="49"/>
      <c r="K15" s="49"/>
      <c r="L15" s="49"/>
      <c r="M15" s="49"/>
      <c r="N15" s="49"/>
      <c r="O15" s="49"/>
    </row>
    <row r="16" spans="1:15">
      <c r="A16" s="283">
        <v>75</v>
      </c>
      <c r="B16" s="284">
        <f t="shared" si="0"/>
        <v>0.68211707203945027</v>
      </c>
      <c r="C16" s="509">
        <v>65</v>
      </c>
      <c r="D16" s="509">
        <v>65</v>
      </c>
      <c r="E16" s="284"/>
      <c r="F16" s="49"/>
      <c r="G16" s="49"/>
      <c r="H16" s="49"/>
      <c r="I16" s="49"/>
      <c r="J16" s="49"/>
      <c r="K16" s="49"/>
      <c r="L16" s="49"/>
      <c r="M16" s="49"/>
      <c r="N16" s="49"/>
      <c r="O16" s="49"/>
    </row>
    <row r="17" spans="1:15">
      <c r="A17" s="486">
        <v>125</v>
      </c>
      <c r="B17" s="284">
        <f t="shared" si="0"/>
        <v>0.87402888568220427</v>
      </c>
      <c r="C17" s="509">
        <v>80</v>
      </c>
      <c r="D17" s="509">
        <v>25</v>
      </c>
      <c r="E17" s="284"/>
      <c r="F17" s="49"/>
      <c r="G17" s="49"/>
      <c r="H17" s="49"/>
      <c r="I17" s="49"/>
      <c r="J17" s="49"/>
      <c r="K17" s="49"/>
      <c r="L17" s="49"/>
      <c r="M17" s="49"/>
      <c r="N17" s="49"/>
      <c r="O17" s="49"/>
    </row>
    <row r="18" spans="1:15">
      <c r="A18" s="252">
        <v>150</v>
      </c>
      <c r="B18" s="284">
        <f t="shared" si="0"/>
        <v>0.93120666130319063</v>
      </c>
      <c r="C18" s="509">
        <v>100</v>
      </c>
      <c r="D18" s="509">
        <v>5</v>
      </c>
      <c r="E18" s="284"/>
      <c r="F18" s="49"/>
      <c r="G18" s="49"/>
      <c r="H18" s="49"/>
      <c r="I18" s="49"/>
      <c r="J18" s="49"/>
      <c r="K18" s="49"/>
      <c r="L18" s="49"/>
      <c r="M18" s="49"/>
      <c r="N18" s="49"/>
      <c r="O18" s="49"/>
    </row>
    <row r="19" spans="1:15">
      <c r="A19" s="252">
        <v>200</v>
      </c>
      <c r="B19" s="284">
        <f t="shared" si="0"/>
        <v>1.0012873509598899</v>
      </c>
      <c r="C19" s="509">
        <v>100</v>
      </c>
      <c r="D19" s="509" t="s">
        <v>246</v>
      </c>
      <c r="E19" s="284"/>
      <c r="F19" s="49"/>
      <c r="G19" s="49"/>
      <c r="H19" s="49"/>
      <c r="I19" s="49"/>
      <c r="J19" s="49"/>
      <c r="K19" s="49"/>
      <c r="L19" s="49"/>
      <c r="M19" s="49"/>
      <c r="N19" s="49"/>
      <c r="O19" s="49"/>
    </row>
    <row r="20" spans="1:15">
      <c r="A20" s="252">
        <v>300</v>
      </c>
      <c r="B20" s="284">
        <f t="shared" si="0"/>
        <v>1.0553831538235772</v>
      </c>
      <c r="C20" s="509">
        <v>100</v>
      </c>
      <c r="D20" s="284" t="s">
        <v>246</v>
      </c>
      <c r="E20" s="284"/>
      <c r="F20" s="49"/>
      <c r="G20" s="49"/>
      <c r="H20" s="49"/>
      <c r="I20" s="49"/>
      <c r="J20" s="49"/>
      <c r="K20" s="49"/>
      <c r="L20" s="49"/>
      <c r="M20" s="49"/>
      <c r="N20" s="49"/>
      <c r="O20" s="49"/>
    </row>
    <row r="21" spans="1:15">
      <c r="A21" s="252">
        <v>400</v>
      </c>
      <c r="B21" s="284">
        <f t="shared" si="0"/>
        <v>1.0695028639387154</v>
      </c>
      <c r="C21" s="509">
        <v>100</v>
      </c>
      <c r="D21" s="284" t="s">
        <v>246</v>
      </c>
      <c r="E21" s="284"/>
      <c r="F21" s="49"/>
      <c r="G21" s="49"/>
      <c r="H21" s="49"/>
      <c r="I21" s="49"/>
      <c r="J21" s="49"/>
      <c r="K21" s="49"/>
      <c r="L21" s="49"/>
      <c r="M21" s="49"/>
      <c r="N21" s="49"/>
      <c r="O21" s="49"/>
    </row>
    <row r="22" spans="1:15">
      <c r="A22" s="252"/>
      <c r="B22" s="284"/>
      <c r="C22" s="284"/>
      <c r="D22" s="284"/>
      <c r="E22" s="284"/>
      <c r="F22" s="49"/>
      <c r="G22" s="49"/>
      <c r="H22" s="49"/>
      <c r="I22" s="49"/>
      <c r="J22" s="49"/>
      <c r="K22" s="49"/>
      <c r="L22" s="49"/>
      <c r="M22" s="49"/>
      <c r="N22" s="49"/>
      <c r="O22" s="49"/>
    </row>
    <row r="23" spans="1:15">
      <c r="A23" s="252"/>
      <c r="B23" s="284"/>
      <c r="C23" s="284"/>
      <c r="D23" s="284"/>
      <c r="E23" s="284"/>
      <c r="F23" s="49"/>
      <c r="G23" s="49"/>
      <c r="H23" s="49"/>
      <c r="I23" s="49"/>
      <c r="J23" s="49"/>
      <c r="K23" s="49"/>
      <c r="L23" s="49"/>
      <c r="M23" s="49"/>
      <c r="N23" s="49"/>
      <c r="O23" s="49"/>
    </row>
    <row r="24" spans="1:15">
      <c r="F24" s="49"/>
      <c r="G24" s="49"/>
      <c r="H24" s="49"/>
      <c r="I24" s="49"/>
      <c r="J24" s="49"/>
      <c r="K24" s="49"/>
      <c r="L24" s="49"/>
      <c r="M24" s="49"/>
      <c r="N24" s="49"/>
      <c r="O24" s="49"/>
    </row>
    <row r="25" spans="1:15">
      <c r="F25" s="49"/>
      <c r="G25" s="49"/>
      <c r="H25" s="49"/>
      <c r="I25" s="49"/>
      <c r="J25" s="49"/>
      <c r="K25" s="49"/>
      <c r="L25" s="49"/>
      <c r="M25" s="49"/>
      <c r="N25" s="49"/>
      <c r="O25" s="49"/>
    </row>
    <row r="26" spans="1:15">
      <c r="F26" s="49"/>
      <c r="G26" s="49"/>
      <c r="H26" s="49"/>
      <c r="I26" s="49"/>
      <c r="J26" s="49"/>
      <c r="K26" s="49"/>
      <c r="L26" s="49"/>
      <c r="M26" s="49"/>
      <c r="N26" s="49"/>
      <c r="O26" s="49"/>
    </row>
    <row r="27" spans="1:15">
      <c r="F27" s="153"/>
      <c r="G27" s="153"/>
      <c r="H27" s="153"/>
      <c r="I27" s="153"/>
      <c r="J27" s="153"/>
      <c r="K27" s="153"/>
      <c r="L27" s="153"/>
      <c r="M27" s="153"/>
      <c r="N27" s="153"/>
      <c r="O27" s="49"/>
    </row>
    <row r="28" spans="1:15">
      <c r="F28" s="50"/>
      <c r="G28" s="50"/>
      <c r="H28" s="50"/>
      <c r="I28" s="50"/>
      <c r="J28" s="50"/>
      <c r="K28" s="50"/>
      <c r="L28" s="50"/>
      <c r="M28" s="50"/>
      <c r="N28" s="50"/>
      <c r="O28" s="49"/>
    </row>
    <row r="29" spans="1:15">
      <c r="F29" s="50"/>
      <c r="G29" s="50"/>
      <c r="H29" s="50"/>
      <c r="I29" s="50"/>
      <c r="J29" s="50"/>
      <c r="K29" s="50"/>
      <c r="L29" s="50"/>
      <c r="M29" s="50"/>
      <c r="N29" s="50"/>
      <c r="O29" s="49"/>
    </row>
    <row r="30" spans="1:15">
      <c r="A30" s="191"/>
      <c r="B30" s="191"/>
      <c r="C30" s="191"/>
      <c r="D30" s="191"/>
      <c r="E30" s="191"/>
      <c r="F30" s="191"/>
      <c r="G30" s="191"/>
      <c r="H30" s="492"/>
      <c r="I30" s="492"/>
      <c r="J30" s="492"/>
      <c r="K30" s="493"/>
      <c r="L30" s="493"/>
      <c r="M30" s="493"/>
      <c r="N30" s="493"/>
      <c r="O30" s="494"/>
    </row>
    <row r="31" spans="1:15" ht="13">
      <c r="A31" s="508" t="s">
        <v>879</v>
      </c>
      <c r="B31" s="511">
        <v>1.0541326</v>
      </c>
      <c r="C31" s="503" t="s">
        <v>863</v>
      </c>
      <c r="D31" s="511">
        <v>-9.8126979999999999E-3</v>
      </c>
      <c r="E31" s="191"/>
      <c r="F31" s="191"/>
      <c r="G31" s="191"/>
      <c r="H31" s="191"/>
      <c r="I31" s="191"/>
      <c r="J31" s="191"/>
      <c r="K31" s="494"/>
      <c r="L31" s="496"/>
      <c r="M31" s="494"/>
      <c r="N31" s="494"/>
      <c r="O31" s="494"/>
    </row>
    <row r="32" spans="1:15" ht="13">
      <c r="A32" s="497"/>
      <c r="B32" s="497"/>
      <c r="C32" s="497"/>
      <c r="D32" s="191"/>
      <c r="E32" s="497"/>
      <c r="F32" s="497"/>
      <c r="G32" s="498"/>
      <c r="H32" s="499"/>
      <c r="I32" s="499"/>
      <c r="J32" s="500"/>
      <c r="K32" s="494"/>
      <c r="L32" s="501"/>
      <c r="M32" s="502"/>
      <c r="N32" s="503"/>
      <c r="O32" s="494"/>
    </row>
    <row r="33" spans="1:15" ht="13">
      <c r="A33" s="280" t="s">
        <v>247</v>
      </c>
      <c r="B33" s="72"/>
      <c r="C33" s="72"/>
      <c r="D33" s="92"/>
      <c r="E33" s="497"/>
      <c r="F33" s="497"/>
      <c r="G33" s="504"/>
      <c r="H33" s="191"/>
      <c r="I33" s="505"/>
      <c r="J33" s="191"/>
      <c r="K33" s="494"/>
      <c r="L33" s="506"/>
      <c r="M33" s="487"/>
      <c r="N33" s="487"/>
      <c r="O33" s="494"/>
    </row>
    <row r="34" spans="1:15" ht="12.5">
      <c r="A34" s="49"/>
      <c r="B34" s="261"/>
      <c r="C34" s="261"/>
      <c r="D34" s="266" t="s">
        <v>241</v>
      </c>
      <c r="E34" s="497"/>
      <c r="F34" s="497"/>
      <c r="G34" s="504"/>
      <c r="H34" s="191"/>
      <c r="I34" s="505"/>
      <c r="J34" s="191"/>
      <c r="K34" s="494"/>
      <c r="L34" s="506"/>
      <c r="M34" s="487"/>
      <c r="N34" s="487"/>
      <c r="O34" s="494"/>
    </row>
    <row r="35" spans="1:15" ht="12.5">
      <c r="A35" s="282" t="s">
        <v>242</v>
      </c>
      <c r="B35" s="282" t="s">
        <v>243</v>
      </c>
      <c r="C35" s="282" t="s">
        <v>244</v>
      </c>
      <c r="D35" s="282" t="s">
        <v>245</v>
      </c>
      <c r="E35" s="497"/>
      <c r="F35" s="497"/>
      <c r="G35" s="504"/>
      <c r="H35" s="191"/>
      <c r="I35" s="505"/>
      <c r="J35" s="191"/>
      <c r="K35" s="494"/>
      <c r="L35" s="506"/>
      <c r="M35" s="487"/>
      <c r="N35" s="487"/>
      <c r="O35" s="494"/>
    </row>
    <row r="36" spans="1:15" ht="12.5">
      <c r="A36" s="283">
        <v>0</v>
      </c>
      <c r="B36" s="284">
        <f t="shared" ref="B36:B43" si="1">($B$31*(1-EXP($D$31*A36)))</f>
        <v>0</v>
      </c>
      <c r="C36" s="509">
        <v>0</v>
      </c>
      <c r="D36" s="509">
        <v>100</v>
      </c>
      <c r="E36" s="497"/>
      <c r="F36" s="497"/>
      <c r="G36" s="504"/>
      <c r="H36" s="191"/>
      <c r="I36" s="505"/>
      <c r="J36" s="191"/>
      <c r="K36" s="494"/>
      <c r="L36" s="506"/>
      <c r="M36" s="487"/>
      <c r="N36" s="487"/>
      <c r="O36" s="494"/>
    </row>
    <row r="37" spans="1:15" ht="12.5">
      <c r="A37" s="283">
        <v>70</v>
      </c>
      <c r="B37" s="284">
        <f t="shared" si="1"/>
        <v>0.52375740688116501</v>
      </c>
      <c r="C37" s="509">
        <v>50</v>
      </c>
      <c r="D37" s="509">
        <v>80</v>
      </c>
      <c r="E37" s="497"/>
      <c r="F37" s="497"/>
      <c r="G37" s="504"/>
      <c r="H37" s="191"/>
      <c r="I37" s="505"/>
      <c r="J37" s="191"/>
      <c r="K37" s="494"/>
      <c r="L37" s="506"/>
      <c r="M37" s="487"/>
      <c r="N37" s="487"/>
      <c r="O37" s="494"/>
    </row>
    <row r="38" spans="1:15" ht="12.5">
      <c r="A38" s="283">
        <v>110</v>
      </c>
      <c r="B38" s="284">
        <f t="shared" si="1"/>
        <v>0.69593788054069816</v>
      </c>
      <c r="C38" s="509">
        <v>65</v>
      </c>
      <c r="D38" s="509">
        <v>65</v>
      </c>
      <c r="E38" s="497"/>
      <c r="F38" s="497"/>
      <c r="G38" s="504"/>
      <c r="H38" s="191"/>
      <c r="I38" s="505"/>
      <c r="J38" s="191"/>
      <c r="K38" s="494"/>
      <c r="L38" s="506"/>
      <c r="M38" s="487"/>
      <c r="N38" s="487"/>
      <c r="O38" s="494"/>
    </row>
    <row r="39" spans="1:15" ht="12.5">
      <c r="A39" s="486">
        <v>150</v>
      </c>
      <c r="B39" s="284">
        <f t="shared" si="1"/>
        <v>0.81222185697665417</v>
      </c>
      <c r="C39" s="509">
        <v>80</v>
      </c>
      <c r="D39" s="509">
        <v>25</v>
      </c>
      <c r="E39" s="497"/>
      <c r="F39" s="497"/>
      <c r="G39" s="504"/>
      <c r="H39" s="191"/>
      <c r="I39" s="505"/>
      <c r="J39" s="191"/>
      <c r="K39" s="494"/>
      <c r="L39" s="506"/>
      <c r="M39" s="487"/>
      <c r="N39" s="487"/>
      <c r="O39" s="494"/>
    </row>
    <row r="40" spans="1:15" ht="12.5">
      <c r="A40" s="252">
        <v>180</v>
      </c>
      <c r="B40" s="284">
        <f t="shared" si="1"/>
        <v>0.87391087693842873</v>
      </c>
      <c r="C40" s="509">
        <v>100</v>
      </c>
      <c r="D40" s="509">
        <v>5</v>
      </c>
      <c r="E40" s="497"/>
      <c r="F40" s="497"/>
      <c r="G40" s="504"/>
      <c r="H40" s="191"/>
      <c r="I40" s="505"/>
      <c r="J40" s="191"/>
      <c r="K40" s="494"/>
      <c r="L40" s="506"/>
      <c r="M40" s="487"/>
      <c r="N40" s="487"/>
      <c r="O40" s="494"/>
    </row>
    <row r="41" spans="1:15" ht="12.5">
      <c r="A41" s="252">
        <v>200</v>
      </c>
      <c r="B41" s="284">
        <f t="shared" si="1"/>
        <v>0.9060257566790646</v>
      </c>
      <c r="C41" s="509">
        <v>100</v>
      </c>
      <c r="D41" s="509" t="s">
        <v>246</v>
      </c>
      <c r="E41" s="497"/>
      <c r="F41" s="497"/>
      <c r="G41" s="504"/>
      <c r="H41" s="191"/>
      <c r="I41" s="505"/>
      <c r="J41" s="191"/>
      <c r="K41" s="494"/>
      <c r="L41" s="506"/>
      <c r="M41" s="487"/>
      <c r="N41" s="487"/>
      <c r="O41" s="494"/>
    </row>
    <row r="42" spans="1:15" ht="12.5">
      <c r="A42" s="512">
        <v>300</v>
      </c>
      <c r="B42" s="284">
        <f t="shared" si="1"/>
        <v>0.99861699637469969</v>
      </c>
      <c r="C42" s="509">
        <v>100</v>
      </c>
      <c r="D42" s="509" t="s">
        <v>246</v>
      </c>
      <c r="E42" s="497"/>
      <c r="F42" s="497"/>
      <c r="G42" s="504"/>
      <c r="H42" s="191"/>
      <c r="I42" s="505"/>
      <c r="J42" s="191"/>
      <c r="K42" s="494"/>
      <c r="L42" s="506"/>
      <c r="M42" s="487"/>
      <c r="N42" s="487"/>
      <c r="O42" s="494"/>
    </row>
    <row r="43" spans="1:15" ht="12.5">
      <c r="A43" s="512">
        <v>400</v>
      </c>
      <c r="B43" s="284">
        <f t="shared" si="1"/>
        <v>1.0333234180825712</v>
      </c>
      <c r="C43" s="509">
        <v>100</v>
      </c>
      <c r="D43" s="509" t="s">
        <v>246</v>
      </c>
      <c r="E43" s="497"/>
      <c r="F43" s="497"/>
      <c r="G43" s="504"/>
      <c r="H43" s="191"/>
      <c r="I43" s="505"/>
      <c r="J43" s="191"/>
      <c r="K43" s="494"/>
      <c r="L43" s="506"/>
      <c r="M43" s="487"/>
      <c r="N43" s="487"/>
      <c r="O43" s="494"/>
    </row>
    <row r="44" spans="1:15" ht="12.5">
      <c r="A44" s="497"/>
      <c r="B44" s="497"/>
      <c r="C44" s="497"/>
      <c r="D44" s="497"/>
      <c r="E44" s="497"/>
      <c r="F44" s="497"/>
      <c r="G44" s="504"/>
      <c r="H44" s="191"/>
      <c r="I44" s="505"/>
      <c r="J44" s="191"/>
      <c r="K44" s="494"/>
      <c r="L44" s="506"/>
      <c r="M44" s="487"/>
      <c r="N44" s="487"/>
      <c r="O44" s="494"/>
    </row>
    <row r="45" spans="1:15" ht="12.5">
      <c r="A45" s="497"/>
      <c r="B45" s="497"/>
      <c r="C45" s="497"/>
      <c r="D45" s="497"/>
      <c r="E45" s="497"/>
      <c r="F45" s="497"/>
      <c r="G45" s="504"/>
      <c r="H45" s="191"/>
      <c r="I45" s="505"/>
      <c r="J45" s="191"/>
      <c r="K45" s="494"/>
      <c r="L45" s="506"/>
      <c r="M45" s="487"/>
      <c r="N45" s="487"/>
      <c r="O45" s="494"/>
    </row>
    <row r="46" spans="1:15" ht="12.5">
      <c r="A46" s="497"/>
      <c r="B46" s="497"/>
      <c r="C46" s="497"/>
      <c r="D46" s="497"/>
      <c r="E46" s="497"/>
      <c r="F46" s="497"/>
      <c r="G46" s="504"/>
      <c r="H46" s="191"/>
      <c r="I46" s="505"/>
      <c r="J46" s="191"/>
      <c r="K46" s="494"/>
      <c r="L46" s="506"/>
      <c r="M46" s="487"/>
      <c r="N46" s="487"/>
      <c r="O46" s="494"/>
    </row>
    <row r="47" spans="1:15" ht="12.5">
      <c r="A47" s="497"/>
      <c r="B47" s="497"/>
      <c r="C47" s="497"/>
      <c r="D47" s="497"/>
      <c r="E47" s="497"/>
      <c r="F47" s="497"/>
      <c r="G47" s="504"/>
      <c r="H47" s="191"/>
      <c r="I47" s="505"/>
      <c r="J47" s="191"/>
      <c r="K47" s="494"/>
      <c r="L47" s="506"/>
      <c r="M47" s="487"/>
      <c r="N47" s="487"/>
      <c r="O47" s="494"/>
    </row>
    <row r="48" spans="1:15" ht="12.5">
      <c r="A48" s="497"/>
      <c r="B48" s="497"/>
      <c r="C48" s="497"/>
      <c r="D48" s="497"/>
      <c r="E48" s="497"/>
      <c r="F48" s="497"/>
      <c r="G48" s="504"/>
      <c r="H48" s="191"/>
      <c r="I48" s="505"/>
      <c r="J48" s="191"/>
      <c r="K48" s="494"/>
      <c r="L48" s="506"/>
      <c r="M48" s="487"/>
      <c r="N48" s="487"/>
      <c r="O48" s="494"/>
    </row>
    <row r="49" spans="1:15" ht="12.5">
      <c r="A49" s="497"/>
      <c r="B49" s="497"/>
      <c r="C49" s="497"/>
      <c r="D49" s="497"/>
      <c r="E49" s="497"/>
      <c r="F49" s="497"/>
      <c r="G49" s="504"/>
      <c r="H49" s="191"/>
      <c r="I49" s="505"/>
      <c r="J49" s="191"/>
      <c r="K49" s="494"/>
      <c r="L49" s="506"/>
      <c r="M49" s="487"/>
      <c r="N49" s="487"/>
      <c r="O49" s="494"/>
    </row>
  </sheetData>
  <sheetProtection password="CAFD" sheet="1" objects="1" scenarios="1"/>
  <phoneticPr fontId="132"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P767"/>
  <sheetViews>
    <sheetView topLeftCell="A199" zoomScaleNormal="100" workbookViewId="0">
      <pane ySplit="1770" topLeftCell="A34" activePane="bottomLeft"/>
      <selection activeCell="A199" sqref="A199"/>
      <selection pane="bottomLeft" activeCell="H64" sqref="H64"/>
    </sheetView>
  </sheetViews>
  <sheetFormatPr defaultColWidth="8.8984375" defaultRowHeight="11.5"/>
  <cols>
    <col min="1" max="1" width="10.59765625" customWidth="1"/>
    <col min="2" max="2" width="14.09765625" customWidth="1"/>
    <col min="3" max="3" width="12.8984375" customWidth="1"/>
    <col min="4" max="4" width="13" customWidth="1"/>
    <col min="5" max="5" width="14.59765625" customWidth="1"/>
    <col min="6" max="6" width="15.09765625" style="4" bestFit="1" customWidth="1"/>
    <col min="7" max="7" width="8.8984375" customWidth="1"/>
    <col min="8" max="8" width="14.296875" customWidth="1"/>
  </cols>
  <sheetData>
    <row r="1" spans="1:16" ht="15.5">
      <c r="A1" s="59" t="s">
        <v>1076</v>
      </c>
      <c r="B1" s="60"/>
      <c r="C1" s="60"/>
      <c r="D1" s="60"/>
      <c r="E1" s="60"/>
      <c r="F1" s="133"/>
      <c r="H1" s="60"/>
      <c r="I1" s="64" t="s">
        <v>1077</v>
      </c>
      <c r="J1" s="60"/>
      <c r="K1" s="60"/>
      <c r="L1" s="60"/>
      <c r="M1" s="60"/>
      <c r="N1" s="60"/>
    </row>
    <row r="2" spans="1:16">
      <c r="A2" s="61"/>
      <c r="B2" s="61"/>
      <c r="C2" s="61"/>
      <c r="D2" s="61"/>
      <c r="E2" s="61"/>
      <c r="F2" s="134"/>
      <c r="G2" s="62"/>
      <c r="H2" s="62"/>
      <c r="I2" s="62"/>
      <c r="J2" s="62"/>
      <c r="K2" s="61"/>
      <c r="L2" s="61"/>
      <c r="M2" s="61"/>
      <c r="N2" s="61"/>
    </row>
    <row r="3" spans="1:16" ht="13">
      <c r="A3" s="63" t="s">
        <v>1073</v>
      </c>
      <c r="B3" s="61"/>
      <c r="C3" s="61"/>
      <c r="D3" s="61"/>
      <c r="E3" s="64"/>
      <c r="F3" s="134"/>
      <c r="G3" s="62"/>
      <c r="H3" s="62"/>
      <c r="I3" s="62"/>
      <c r="J3" s="62"/>
      <c r="K3" s="61"/>
      <c r="L3" s="61"/>
      <c r="M3" s="61"/>
      <c r="N3" s="61"/>
    </row>
    <row r="4" spans="1:16">
      <c r="A4" t="s">
        <v>1177</v>
      </c>
    </row>
    <row r="5" spans="1:16" s="61" customFormat="1" ht="17.5">
      <c r="A5" s="65" t="s">
        <v>1203</v>
      </c>
      <c r="E5" s="1" t="s">
        <v>1191</v>
      </c>
      <c r="F5" s="134"/>
      <c r="L5" s="62" t="s">
        <v>1026</v>
      </c>
      <c r="P5" s="61" t="s">
        <v>1058</v>
      </c>
    </row>
    <row r="6" spans="1:16" ht="13.5">
      <c r="A6" s="61" t="s">
        <v>177</v>
      </c>
      <c r="B6" s="61"/>
      <c r="C6" s="61"/>
      <c r="D6" s="61"/>
      <c r="E6" s="61"/>
      <c r="F6" s="476" t="s">
        <v>201</v>
      </c>
      <c r="G6" s="477"/>
      <c r="H6" s="476"/>
      <c r="I6" s="477"/>
      <c r="J6" s="477"/>
      <c r="K6" s="477"/>
      <c r="L6" s="477"/>
      <c r="M6" s="61"/>
      <c r="N6" s="61"/>
    </row>
    <row r="7" spans="1:16" s="61" customFormat="1" ht="12.5">
      <c r="A7" s="65" t="s">
        <v>1178</v>
      </c>
      <c r="D7" s="1"/>
      <c r="E7"/>
      <c r="F7" s="135"/>
      <c r="G7" s="62"/>
      <c r="H7" s="118"/>
      <c r="I7" s="62"/>
      <c r="J7" s="69"/>
      <c r="K7" s="62"/>
      <c r="L7" s="62"/>
    </row>
    <row r="8" spans="1:16" s="61" customFormat="1">
      <c r="A8" s="131" t="s">
        <v>879</v>
      </c>
      <c r="B8" s="132">
        <v>1</v>
      </c>
      <c r="C8" s="131" t="s">
        <v>863</v>
      </c>
      <c r="D8" s="132">
        <v>40.747999999999998</v>
      </c>
      <c r="E8"/>
      <c r="F8" s="135"/>
      <c r="G8" s="62"/>
      <c r="H8" s="118"/>
      <c r="I8" s="62"/>
      <c r="J8" s="69"/>
      <c r="K8" s="62"/>
      <c r="L8" s="62"/>
    </row>
    <row r="9" spans="1:16" s="61" customFormat="1" ht="12.5">
      <c r="A9" s="65" t="s">
        <v>1179</v>
      </c>
      <c r="D9" s="1"/>
      <c r="E9"/>
      <c r="F9" s="135"/>
      <c r="G9" s="62"/>
      <c r="H9" s="118"/>
      <c r="I9" s="62"/>
      <c r="J9" s="69"/>
      <c r="K9" s="62"/>
      <c r="L9" s="62"/>
    </row>
    <row r="10" spans="1:16" s="61" customFormat="1">
      <c r="A10" s="107" t="s">
        <v>864</v>
      </c>
      <c r="B10" s="132" t="s">
        <v>1069</v>
      </c>
      <c r="D10" s="1"/>
      <c r="E10"/>
      <c r="F10" s="135"/>
      <c r="G10" s="62"/>
      <c r="H10" s="118"/>
      <c r="I10" s="62"/>
      <c r="J10" s="69"/>
      <c r="K10" s="62"/>
      <c r="L10" s="62"/>
    </row>
    <row r="11" spans="1:16" s="61" customFormat="1">
      <c r="A11" s="97" t="s">
        <v>1180</v>
      </c>
      <c r="B11" s="132"/>
      <c r="D11" s="1"/>
      <c r="E11"/>
      <c r="F11" s="135"/>
      <c r="G11" s="62"/>
      <c r="H11" s="118"/>
      <c r="I11" s="62"/>
      <c r="J11" s="69"/>
      <c r="K11" s="62"/>
      <c r="L11" s="62"/>
    </row>
    <row r="12" spans="1:16" s="61" customFormat="1">
      <c r="A12" s="97" t="s">
        <v>1181</v>
      </c>
      <c r="B12" s="132"/>
      <c r="D12" s="1"/>
      <c r="E12"/>
      <c r="F12" s="135"/>
      <c r="G12" s="62"/>
      <c r="H12" s="118"/>
      <c r="I12" s="62"/>
      <c r="J12" s="69"/>
      <c r="K12" s="62"/>
      <c r="L12" s="62"/>
    </row>
    <row r="13" spans="1:16" s="61" customFormat="1">
      <c r="A13" s="97" t="s">
        <v>1182</v>
      </c>
      <c r="B13" s="132"/>
      <c r="D13" s="1"/>
      <c r="E13"/>
      <c r="F13" s="135"/>
      <c r="G13" s="62"/>
      <c r="H13" s="118"/>
      <c r="I13" s="62"/>
      <c r="J13" s="69"/>
      <c r="K13" s="62"/>
      <c r="L13" s="62"/>
    </row>
    <row r="14" spans="1:16" s="93" customFormat="1">
      <c r="F14" s="136"/>
    </row>
    <row r="16" spans="1:16" ht="13">
      <c r="A16" s="74" t="s">
        <v>1090</v>
      </c>
      <c r="E16" s="61" t="s">
        <v>1061</v>
      </c>
    </row>
    <row r="17" spans="1:14">
      <c r="A17" s="75"/>
    </row>
    <row r="18" spans="1:14" ht="12" thickBot="1"/>
    <row r="19" spans="1:14" s="49" customFormat="1" ht="13">
      <c r="A19" s="78" t="s">
        <v>1164</v>
      </c>
      <c r="B19" s="81"/>
      <c r="C19" s="75" t="s">
        <v>1026</v>
      </c>
      <c r="D19" s="81"/>
      <c r="E19" s="78" t="s">
        <v>1185</v>
      </c>
      <c r="F19" s="319"/>
      <c r="H19" s="79" t="s">
        <v>1166</v>
      </c>
      <c r="I19" s="82"/>
      <c r="K19" s="163" t="s">
        <v>1169</v>
      </c>
      <c r="L19" s="320"/>
      <c r="M19" s="320"/>
      <c r="N19" s="215"/>
    </row>
    <row r="20" spans="1:14" s="49" customFormat="1" ht="13">
      <c r="A20" s="321" t="s">
        <v>889</v>
      </c>
      <c r="B20" s="86" t="s">
        <v>1056</v>
      </c>
      <c r="C20" s="297" t="s">
        <v>986</v>
      </c>
      <c r="D20" s="86"/>
      <c r="E20" s="87" t="s">
        <v>866</v>
      </c>
      <c r="F20" s="322" t="s">
        <v>1165</v>
      </c>
      <c r="H20" s="269" t="s">
        <v>1067</v>
      </c>
      <c r="I20" s="323" t="s">
        <v>1176</v>
      </c>
      <c r="K20" s="324" t="s">
        <v>1167</v>
      </c>
      <c r="L20" s="50"/>
      <c r="M20" s="50"/>
      <c r="N20" s="166"/>
    </row>
    <row r="21" spans="1:14" s="49" customFormat="1" ht="12" thickBot="1">
      <c r="A21" s="72">
        <v>1</v>
      </c>
      <c r="B21" s="75">
        <v>25</v>
      </c>
      <c r="C21" s="75">
        <v>6.2097000000000003E-3</v>
      </c>
      <c r="D21" s="75"/>
      <c r="E21" s="72">
        <v>1</v>
      </c>
      <c r="F21" s="170">
        <v>1.1000000000000001</v>
      </c>
      <c r="H21" s="73">
        <v>1</v>
      </c>
      <c r="I21" s="76">
        <v>1</v>
      </c>
      <c r="K21" s="325" t="s">
        <v>1168</v>
      </c>
      <c r="L21" s="57"/>
      <c r="M21" s="57"/>
      <c r="N21" s="168"/>
    </row>
    <row r="22" spans="1:14" s="49" customFormat="1">
      <c r="A22" s="72">
        <v>2</v>
      </c>
      <c r="B22" s="75">
        <v>5</v>
      </c>
      <c r="C22" s="75">
        <f>0.019316867+0.0025638*B22-0.00078866667*B22*B22</f>
        <v>1.2419200249999998E-2</v>
      </c>
      <c r="D22" s="75"/>
      <c r="E22" s="72">
        <v>2</v>
      </c>
      <c r="F22" s="170">
        <v>1.0249999999999999</v>
      </c>
      <c r="H22" s="73">
        <v>2.1</v>
      </c>
      <c r="I22" s="76">
        <v>0.92</v>
      </c>
    </row>
    <row r="23" spans="1:14" s="49" customFormat="1">
      <c r="A23" s="72">
        <v>3</v>
      </c>
      <c r="B23" s="75">
        <v>3.5</v>
      </c>
      <c r="C23" s="75">
        <f>0.019316867+0.0025638*B23-0.00078866667*B23*B23</f>
        <v>1.8629000292500003E-2</v>
      </c>
      <c r="D23" s="75"/>
      <c r="E23" s="72">
        <v>3</v>
      </c>
      <c r="F23" s="170">
        <v>1</v>
      </c>
      <c r="H23" s="73">
        <v>2.2000000000000002</v>
      </c>
      <c r="I23" s="76">
        <v>0.93</v>
      </c>
    </row>
    <row r="24" spans="1:14" s="49" customFormat="1">
      <c r="A24" s="72">
        <v>4</v>
      </c>
      <c r="B24" s="75">
        <v>2</v>
      </c>
      <c r="C24" s="75">
        <f>0.019316867+0.0025638*B24-0.00078866667*B24*B24</f>
        <v>2.128980032E-2</v>
      </c>
      <c r="D24" s="75"/>
      <c r="E24" s="72">
        <v>4</v>
      </c>
      <c r="F24" s="170">
        <v>0.98</v>
      </c>
      <c r="H24" s="73">
        <v>2.2999999999999998</v>
      </c>
      <c r="I24" s="76">
        <v>0.94</v>
      </c>
    </row>
    <row r="25" spans="1:14" s="49" customFormat="1">
      <c r="A25" s="72"/>
      <c r="B25" s="75"/>
      <c r="C25" s="75"/>
      <c r="D25" s="75"/>
      <c r="E25" s="75">
        <v>5</v>
      </c>
      <c r="F25" s="170">
        <v>0.95</v>
      </c>
      <c r="H25" s="73">
        <v>2.4</v>
      </c>
      <c r="I25" s="76">
        <v>0.95</v>
      </c>
    </row>
    <row r="26" spans="1:14" s="49" customFormat="1">
      <c r="A26" s="72"/>
      <c r="B26" s="75"/>
      <c r="C26" s="75"/>
      <c r="D26" s="75"/>
      <c r="E26" s="72"/>
      <c r="F26" s="170"/>
      <c r="H26" s="73">
        <v>3.1</v>
      </c>
      <c r="I26" s="76">
        <v>0.98</v>
      </c>
    </row>
    <row r="27" spans="1:14" s="49" customFormat="1">
      <c r="A27" s="72"/>
      <c r="B27" s="75"/>
      <c r="C27" s="75"/>
      <c r="D27" s="75"/>
      <c r="E27" s="72"/>
      <c r="F27" s="170"/>
      <c r="H27" s="73">
        <v>3.2</v>
      </c>
      <c r="I27" s="76">
        <v>0.97499999999999998</v>
      </c>
    </row>
    <row r="28" spans="1:14" s="49" customFormat="1">
      <c r="A28" s="72"/>
      <c r="B28" s="75"/>
      <c r="C28" s="75"/>
      <c r="D28" s="75"/>
      <c r="E28" s="72"/>
      <c r="F28" s="170"/>
      <c r="H28" s="73">
        <v>3.3</v>
      </c>
      <c r="I28" s="76">
        <v>0.97</v>
      </c>
    </row>
    <row r="29" spans="1:14" s="49" customFormat="1">
      <c r="A29" s="72"/>
      <c r="B29" s="75"/>
      <c r="C29" s="75"/>
      <c r="D29" s="75"/>
      <c r="E29" s="72"/>
      <c r="F29" s="170"/>
      <c r="H29" s="73">
        <v>3.4</v>
      </c>
      <c r="I29" s="76">
        <v>0.96499999999999997</v>
      </c>
    </row>
    <row r="30" spans="1:14" s="49" customFormat="1">
      <c r="A30" s="72"/>
      <c r="B30" s="75"/>
      <c r="C30" s="75"/>
      <c r="D30" s="75"/>
      <c r="E30" s="72"/>
      <c r="F30" s="170"/>
      <c r="H30" s="73">
        <v>4.0999999999999996</v>
      </c>
      <c r="I30" s="76">
        <v>0.88</v>
      </c>
    </row>
    <row r="31" spans="1:14" s="49" customFormat="1">
      <c r="A31" s="72"/>
      <c r="B31" s="75"/>
      <c r="C31" s="75"/>
      <c r="D31" s="75"/>
      <c r="E31" s="72"/>
      <c r="F31" s="170"/>
      <c r="H31" s="73">
        <v>4.2</v>
      </c>
      <c r="I31" s="76">
        <v>0.9</v>
      </c>
    </row>
    <row r="32" spans="1:14" s="49" customFormat="1">
      <c r="A32" s="72"/>
      <c r="B32" s="75"/>
      <c r="C32" s="75"/>
      <c r="D32" s="75"/>
      <c r="E32" s="72"/>
      <c r="F32" s="170"/>
      <c r="H32" s="73">
        <v>4.3</v>
      </c>
      <c r="I32" s="76">
        <v>0.92</v>
      </c>
    </row>
    <row r="33" spans="1:9" s="49" customFormat="1">
      <c r="A33" s="72"/>
      <c r="B33" s="75"/>
      <c r="C33" s="75"/>
      <c r="D33" s="75"/>
      <c r="E33" s="72"/>
      <c r="F33" s="170"/>
      <c r="H33" s="73">
        <v>4.4000000000000004</v>
      </c>
      <c r="I33" s="76">
        <v>0.94</v>
      </c>
    </row>
    <row r="34" spans="1:9" s="93" customFormat="1">
      <c r="A34" s="70"/>
      <c r="B34" s="70"/>
      <c r="C34" s="70"/>
      <c r="D34" s="70"/>
      <c r="E34" s="70" t="s">
        <v>1026</v>
      </c>
      <c r="F34" s="137" t="s">
        <v>1026</v>
      </c>
    </row>
    <row r="35" spans="1:9" s="49" customFormat="1">
      <c r="F35" s="52"/>
    </row>
    <row r="36" spans="1:9" s="49" customFormat="1">
      <c r="A36" s="94" t="s">
        <v>1085</v>
      </c>
      <c r="C36" s="49" t="s">
        <v>1154</v>
      </c>
      <c r="F36" s="52"/>
    </row>
    <row r="37" spans="1:9" s="49" customFormat="1" ht="11.25" customHeight="1">
      <c r="A37" s="94"/>
      <c r="B37" s="153"/>
      <c r="C37" s="153"/>
      <c r="D37" s="153"/>
      <c r="E37" s="153"/>
      <c r="F37" s="169"/>
    </row>
    <row r="38" spans="1:9" s="294" customFormat="1">
      <c r="A38" s="299" t="s">
        <v>1015</v>
      </c>
      <c r="B38" s="294" t="s">
        <v>123</v>
      </c>
      <c r="C38" s="294" t="s">
        <v>122</v>
      </c>
      <c r="D38" s="294" t="s">
        <v>124</v>
      </c>
      <c r="E38" s="294" t="s">
        <v>125</v>
      </c>
      <c r="F38" s="326" t="s">
        <v>126</v>
      </c>
    </row>
    <row r="39" spans="1:9" s="184" customFormat="1">
      <c r="A39" s="267">
        <v>100</v>
      </c>
      <c r="B39" s="327">
        <f t="shared" ref="B39:B48" si="0">$B$8/(1+$D$8*EXP(-(LOOKUP(B$49,$A$21:$A$24,$C$21:$C$24)*LOOKUP(B$50,$E$21:$E$25,$F$21:$F$25)*LOOKUP(B$51,$H$21:$H$33,$I$21:$I$33))*$A39))</f>
        <v>0.13651916094554534</v>
      </c>
      <c r="C39" s="327">
        <f t="shared" ref="C39:F48" si="1">$B$8/(1+$D$8*EXP(-(LOOKUP(C$49,$A$21:$A$24,$C$21:$C$24)*LOOKUP(C$50,$E$21:$E$25,$F$21:$F$25)*LOOKUP(C$51,$H$21:$H$33,$I$21:$I$33))*$A39))</f>
        <v>7.653921338747878E-2</v>
      </c>
      <c r="D39" s="327">
        <f t="shared" si="1"/>
        <v>6.6833765714712473E-2</v>
      </c>
      <c r="E39" s="327">
        <f t="shared" si="1"/>
        <v>6.6833765714712473E-2</v>
      </c>
      <c r="F39" s="327">
        <f t="shared" si="1"/>
        <v>0.20334320903988401</v>
      </c>
    </row>
    <row r="40" spans="1:9" s="184" customFormat="1">
      <c r="A40" s="267">
        <v>200</v>
      </c>
      <c r="B40" s="327">
        <f t="shared" si="0"/>
        <v>0.50459819530782291</v>
      </c>
      <c r="C40" s="327">
        <f t="shared" si="1"/>
        <v>0.21870252232830159</v>
      </c>
      <c r="D40" s="327">
        <f t="shared" si="1"/>
        <v>0.17288128342899656</v>
      </c>
      <c r="E40" s="327">
        <f t="shared" si="1"/>
        <v>0.17288128342899656</v>
      </c>
      <c r="F40" s="327">
        <f t="shared" si="1"/>
        <v>0.72638323970598517</v>
      </c>
    </row>
    <row r="41" spans="1:9" s="184" customFormat="1">
      <c r="A41" s="267">
        <v>300</v>
      </c>
      <c r="B41" s="327">
        <f t="shared" si="0"/>
        <v>0.86775961027713566</v>
      </c>
      <c r="C41" s="327">
        <f t="shared" si="1"/>
        <v>0.48596321801736192</v>
      </c>
      <c r="D41" s="327">
        <f t="shared" si="1"/>
        <v>0.3788784698099435</v>
      </c>
      <c r="E41" s="327">
        <f t="shared" si="1"/>
        <v>0.3788784698099435</v>
      </c>
      <c r="F41" s="327">
        <f t="shared" si="1"/>
        <v>0.96504884991028095</v>
      </c>
    </row>
    <row r="42" spans="1:9" s="184" customFormat="1">
      <c r="A42" s="267">
        <v>400</v>
      </c>
      <c r="B42" s="327">
        <f t="shared" si="0"/>
        <v>0.97689191270013509</v>
      </c>
      <c r="C42" s="327">
        <f t="shared" si="1"/>
        <v>0.76149979609140073</v>
      </c>
      <c r="D42" s="327">
        <f t="shared" si="1"/>
        <v>0.6403124585426524</v>
      </c>
      <c r="E42" s="327">
        <f t="shared" si="1"/>
        <v>0.6403124585426524</v>
      </c>
      <c r="F42" s="327">
        <f t="shared" si="1"/>
        <v>0.99652993336954787</v>
      </c>
    </row>
    <row r="43" spans="1:9" s="184" customFormat="1">
      <c r="A43" s="267">
        <v>500</v>
      </c>
      <c r="B43" s="327">
        <f t="shared" si="0"/>
        <v>0.99634170610566286</v>
      </c>
      <c r="C43" s="327">
        <f t="shared" si="1"/>
        <v>0.91513434196041377</v>
      </c>
      <c r="D43" s="327">
        <f t="shared" si="1"/>
        <v>0.83858704795822303</v>
      </c>
      <c r="E43" s="327">
        <f t="shared" si="1"/>
        <v>0.83858704795822303</v>
      </c>
      <c r="F43" s="327">
        <f t="shared" si="1"/>
        <v>0.99966531412719395</v>
      </c>
    </row>
    <row r="44" spans="1:9" s="184" customFormat="1">
      <c r="A44" s="267">
        <v>600</v>
      </c>
      <c r="B44" s="327">
        <f t="shared" si="0"/>
        <v>0.99943039258866107</v>
      </c>
      <c r="C44" s="327">
        <f t="shared" si="1"/>
        <v>0.97327541023605912</v>
      </c>
      <c r="D44" s="327">
        <f t="shared" si="1"/>
        <v>0.938126000547433</v>
      </c>
      <c r="E44" s="327">
        <f t="shared" si="1"/>
        <v>0.938126000547433</v>
      </c>
      <c r="F44" s="327">
        <f t="shared" si="1"/>
        <v>0.99996781125310286</v>
      </c>
    </row>
    <row r="45" spans="1:9" s="184" customFormat="1">
      <c r="A45" s="267">
        <v>700</v>
      </c>
      <c r="B45" s="327">
        <f t="shared" si="0"/>
        <v>0.99991154193039555</v>
      </c>
      <c r="C45" s="327">
        <f t="shared" si="1"/>
        <v>0.99193532593890388</v>
      </c>
      <c r="D45" s="327">
        <f t="shared" si="1"/>
        <v>0.97789970265277204</v>
      </c>
      <c r="E45" s="327">
        <f t="shared" si="1"/>
        <v>0.97789970265277204</v>
      </c>
      <c r="F45" s="327">
        <f t="shared" si="1"/>
        <v>0.99999690506168515</v>
      </c>
    </row>
    <row r="46" spans="1:9" s="184" customFormat="1">
      <c r="A46" s="267">
        <v>800</v>
      </c>
      <c r="B46" s="327">
        <f t="shared" si="0"/>
        <v>0.99998626835049997</v>
      </c>
      <c r="C46" s="327">
        <f t="shared" si="1"/>
        <v>0.99759847338000063</v>
      </c>
      <c r="D46" s="327">
        <f t="shared" si="1"/>
        <v>0.99231559218916399</v>
      </c>
      <c r="E46" s="327">
        <f t="shared" si="1"/>
        <v>0.99231559218916399</v>
      </c>
      <c r="F46" s="327">
        <f t="shared" si="1"/>
        <v>0.99999970243043901</v>
      </c>
    </row>
    <row r="47" spans="1:9" s="184" customFormat="1">
      <c r="A47" s="267">
        <v>900</v>
      </c>
      <c r="B47" s="327">
        <f t="shared" si="0"/>
        <v>0.99999786852352157</v>
      </c>
      <c r="C47" s="327">
        <f t="shared" si="1"/>
        <v>0.99928772066204286</v>
      </c>
      <c r="D47" s="327">
        <f t="shared" si="1"/>
        <v>0.99735353285840234</v>
      </c>
      <c r="E47" s="327">
        <f t="shared" si="1"/>
        <v>0.99735353285840234</v>
      </c>
      <c r="F47" s="327">
        <f t="shared" si="1"/>
        <v>0.99999997138960095</v>
      </c>
    </row>
    <row r="48" spans="1:9" s="184" customFormat="1">
      <c r="A48" s="310">
        <v>1000</v>
      </c>
      <c r="B48" s="347">
        <f t="shared" si="0"/>
        <v>0.99999966914772642</v>
      </c>
      <c r="C48" s="347">
        <f t="shared" si="1"/>
        <v>0.99978899326704762</v>
      </c>
      <c r="D48" s="347">
        <f t="shared" si="1"/>
        <v>0.99909159510088397</v>
      </c>
      <c r="E48" s="347">
        <f t="shared" si="1"/>
        <v>0.99909159510088397</v>
      </c>
      <c r="F48" s="347">
        <f t="shared" si="1"/>
        <v>0.99999999724919864</v>
      </c>
    </row>
    <row r="49" spans="1:14" s="246" customFormat="1">
      <c r="A49" s="244" t="s">
        <v>120</v>
      </c>
      <c r="B49" s="318">
        <v>3</v>
      </c>
      <c r="C49" s="318">
        <v>2</v>
      </c>
      <c r="D49" s="318">
        <v>2</v>
      </c>
      <c r="E49" s="318">
        <v>2</v>
      </c>
      <c r="F49" s="318">
        <v>4</v>
      </c>
    </row>
    <row r="50" spans="1:14" s="246" customFormat="1">
      <c r="A50" s="244" t="s">
        <v>71</v>
      </c>
      <c r="B50" s="318">
        <v>3</v>
      </c>
      <c r="C50" s="318">
        <v>4</v>
      </c>
      <c r="D50" s="318">
        <v>4</v>
      </c>
      <c r="E50" s="318">
        <v>4</v>
      </c>
      <c r="F50" s="318">
        <v>1</v>
      </c>
    </row>
    <row r="51" spans="1:14" s="246" customFormat="1">
      <c r="A51" s="244" t="s">
        <v>121</v>
      </c>
      <c r="B51" s="318">
        <v>1.1000000000000001</v>
      </c>
      <c r="C51" s="318">
        <v>1</v>
      </c>
      <c r="D51" s="318">
        <v>4.0999999999999996</v>
      </c>
      <c r="E51" s="318">
        <v>4.0999999999999996</v>
      </c>
      <c r="F51" s="318">
        <v>1</v>
      </c>
    </row>
    <row r="52" spans="1:14" s="49" customFormat="1">
      <c r="A52" s="108" t="s">
        <v>1205</v>
      </c>
      <c r="B52" s="55"/>
      <c r="F52" s="52"/>
    </row>
    <row r="53" spans="1:14" s="49" customFormat="1">
      <c r="A53" s="108" t="s">
        <v>1186</v>
      </c>
      <c r="B53" s="55"/>
      <c r="E53" s="49">
        <v>4</v>
      </c>
      <c r="F53" s="52"/>
    </row>
    <row r="54" spans="1:14" s="153" customFormat="1">
      <c r="A54" s="119"/>
      <c r="F54" s="169"/>
    </row>
    <row r="55" spans="1:14" s="49" customFormat="1">
      <c r="A55" s="94"/>
      <c r="F55" s="52"/>
    </row>
    <row r="56" spans="1:14" s="49" customFormat="1">
      <c r="A56" s="50"/>
      <c r="B56" s="50"/>
      <c r="C56" s="50"/>
      <c r="D56" s="50"/>
      <c r="E56" s="50"/>
      <c r="G56" s="50"/>
      <c r="H56" s="154" t="s">
        <v>1188</v>
      </c>
      <c r="I56" s="154"/>
      <c r="J56" s="154"/>
      <c r="K56" s="154"/>
      <c r="L56" s="154"/>
      <c r="M56" s="154"/>
      <c r="N56" s="154"/>
    </row>
    <row r="57" spans="1:14" s="49" customFormat="1" ht="13">
      <c r="A57" s="303" t="s">
        <v>902</v>
      </c>
      <c r="B57" s="184"/>
      <c r="C57" s="184"/>
      <c r="D57" s="184"/>
      <c r="E57" s="184"/>
      <c r="F57" s="192"/>
      <c r="G57" s="184"/>
      <c r="I57" s="171" t="s">
        <v>901</v>
      </c>
    </row>
    <row r="58" spans="1:14" s="49" customFormat="1">
      <c r="A58" s="310" t="s">
        <v>1100</v>
      </c>
      <c r="B58" s="310" t="s">
        <v>1099</v>
      </c>
      <c r="C58" s="310" t="s">
        <v>1183</v>
      </c>
      <c r="D58" s="277" t="s">
        <v>1110</v>
      </c>
      <c r="E58" s="277" t="s">
        <v>894</v>
      </c>
      <c r="F58" s="331" t="s">
        <v>1184</v>
      </c>
      <c r="G58" s="277" t="s">
        <v>892</v>
      </c>
      <c r="H58" s="160"/>
      <c r="I58" s="328" t="s">
        <v>870</v>
      </c>
      <c r="J58" s="287" t="s">
        <v>900</v>
      </c>
    </row>
    <row r="59" spans="1:14" s="49" customFormat="1" ht="12.5">
      <c r="A59" s="262">
        <v>1</v>
      </c>
      <c r="B59" s="261">
        <v>1</v>
      </c>
      <c r="C59" s="56">
        <v>1</v>
      </c>
      <c r="D59" s="261">
        <v>6.2097000000000003E-3</v>
      </c>
      <c r="E59" s="261">
        <v>1.1000000000000001</v>
      </c>
      <c r="F59" s="327">
        <v>1</v>
      </c>
      <c r="G59" s="262">
        <f t="shared" ref="G59:G122" si="2">D59*E59*F59</f>
        <v>6.8306700000000005E-3</v>
      </c>
      <c r="I59" s="329">
        <v>350</v>
      </c>
      <c r="J59" s="330">
        <f>$B$8/(1+$D$8*EXP(-G59*I59))</f>
        <v>0.2113724756968145</v>
      </c>
    </row>
    <row r="60" spans="1:14" s="49" customFormat="1" ht="12.5">
      <c r="A60" s="262">
        <v>1</v>
      </c>
      <c r="B60" s="261">
        <v>1</v>
      </c>
      <c r="C60" s="56">
        <v>2.1</v>
      </c>
      <c r="D60" s="261">
        <v>6.2097000000000003E-3</v>
      </c>
      <c r="E60" s="261">
        <v>1.1000000000000001</v>
      </c>
      <c r="F60" s="327">
        <v>1.08</v>
      </c>
      <c r="G60" s="262">
        <f t="shared" si="2"/>
        <v>7.3771236000000013E-3</v>
      </c>
      <c r="I60" s="329">
        <v>350</v>
      </c>
      <c r="J60" s="330">
        <f t="shared" ref="J60:J123" si="3">$B$8/(1+$D$8*EXP(-G60*I60))</f>
        <v>0.24500851634463106</v>
      </c>
    </row>
    <row r="61" spans="1:14" s="49" customFormat="1" ht="12.5">
      <c r="A61" s="262">
        <v>1</v>
      </c>
      <c r="B61" s="261">
        <v>1</v>
      </c>
      <c r="C61" s="56">
        <v>2.2000000000000002</v>
      </c>
      <c r="D61" s="261">
        <v>6.2097000000000003E-3</v>
      </c>
      <c r="E61" s="261">
        <v>1.1000000000000001</v>
      </c>
      <c r="F61" s="327">
        <v>1.07</v>
      </c>
      <c r="G61" s="262">
        <f t="shared" si="2"/>
        <v>7.3088169000000008E-3</v>
      </c>
      <c r="I61" s="329">
        <v>350</v>
      </c>
      <c r="J61" s="330">
        <f t="shared" si="3"/>
        <v>0.24061315558049026</v>
      </c>
    </row>
    <row r="62" spans="1:14" s="49" customFormat="1" ht="12.5">
      <c r="A62" s="262">
        <v>1</v>
      </c>
      <c r="B62" s="261">
        <v>1</v>
      </c>
      <c r="C62" s="56">
        <v>2.2999999999999998</v>
      </c>
      <c r="D62" s="261">
        <v>6.2097000000000003E-3</v>
      </c>
      <c r="E62" s="261">
        <v>1.1000000000000001</v>
      </c>
      <c r="F62" s="327">
        <v>1.06</v>
      </c>
      <c r="G62" s="262">
        <f t="shared" si="2"/>
        <v>7.2405102000000013E-3</v>
      </c>
      <c r="I62" s="329">
        <v>350</v>
      </c>
      <c r="J62" s="330">
        <f t="shared" si="3"/>
        <v>0.23627196975236897</v>
      </c>
    </row>
    <row r="63" spans="1:14" s="49" customFormat="1" ht="12.5">
      <c r="A63" s="262">
        <v>1</v>
      </c>
      <c r="B63" s="261">
        <v>1</v>
      </c>
      <c r="C63" s="56">
        <v>2.4</v>
      </c>
      <c r="D63" s="261">
        <v>6.2097000000000003E-3</v>
      </c>
      <c r="E63" s="261">
        <v>1.1000000000000001</v>
      </c>
      <c r="F63" s="327">
        <v>1.05</v>
      </c>
      <c r="G63" s="262">
        <f t="shared" si="2"/>
        <v>7.1722035000000009E-3</v>
      </c>
      <c r="I63" s="329">
        <v>350</v>
      </c>
      <c r="J63" s="330">
        <f t="shared" si="3"/>
        <v>0.23198518103214097</v>
      </c>
    </row>
    <row r="64" spans="1:14" s="49" customFormat="1" ht="12.5">
      <c r="A64" s="262">
        <v>1</v>
      </c>
      <c r="B64" s="261">
        <v>1</v>
      </c>
      <c r="C64" s="56">
        <v>3.1</v>
      </c>
      <c r="D64" s="261">
        <v>6.2097000000000003E-3</v>
      </c>
      <c r="E64" s="261">
        <v>1.1000000000000001</v>
      </c>
      <c r="F64" s="327">
        <v>1.02</v>
      </c>
      <c r="G64" s="262">
        <f t="shared" si="2"/>
        <v>6.9672834000000005E-3</v>
      </c>
      <c r="I64" s="329">
        <v>350</v>
      </c>
      <c r="J64" s="330">
        <f t="shared" si="3"/>
        <v>0.21945288020479103</v>
      </c>
    </row>
    <row r="65" spans="1:10" s="49" customFormat="1" ht="12.5">
      <c r="A65" s="262">
        <v>1</v>
      </c>
      <c r="B65" s="261">
        <v>1</v>
      </c>
      <c r="C65" s="56">
        <v>3.2</v>
      </c>
      <c r="D65" s="261">
        <v>6.2097000000000003E-3</v>
      </c>
      <c r="E65" s="261">
        <v>1.1000000000000001</v>
      </c>
      <c r="F65" s="327">
        <v>1.0249999999999999</v>
      </c>
      <c r="G65" s="262">
        <f t="shared" si="2"/>
        <v>7.0014367500000002E-3</v>
      </c>
      <c r="I65" s="329">
        <v>350</v>
      </c>
      <c r="J65" s="330">
        <f t="shared" si="3"/>
        <v>0.22150732965007452</v>
      </c>
    </row>
    <row r="66" spans="1:10" s="49" customFormat="1" ht="12.5">
      <c r="A66" s="262">
        <v>1</v>
      </c>
      <c r="B66" s="261">
        <v>1</v>
      </c>
      <c r="C66" s="56">
        <v>3.3</v>
      </c>
      <c r="D66" s="261">
        <v>6.2097000000000003E-3</v>
      </c>
      <c r="E66" s="261">
        <v>1.1000000000000001</v>
      </c>
      <c r="F66" s="327">
        <v>1.03</v>
      </c>
      <c r="G66" s="262">
        <f t="shared" si="2"/>
        <v>7.0355901000000009E-3</v>
      </c>
      <c r="I66" s="329">
        <v>350</v>
      </c>
      <c r="J66" s="330">
        <f t="shared" si="3"/>
        <v>0.22357550318579003</v>
      </c>
    </row>
    <row r="67" spans="1:10" s="49" customFormat="1" ht="12.5">
      <c r="A67" s="262">
        <v>1</v>
      </c>
      <c r="B67" s="261">
        <v>1</v>
      </c>
      <c r="C67" s="56">
        <v>3.4</v>
      </c>
      <c r="D67" s="261">
        <v>6.2097000000000003E-3</v>
      </c>
      <c r="E67" s="261">
        <v>1.1000000000000001</v>
      </c>
      <c r="F67" s="327">
        <v>1.0349999999999999</v>
      </c>
      <c r="G67" s="262">
        <f t="shared" si="2"/>
        <v>7.0697434499999998E-3</v>
      </c>
      <c r="I67" s="329">
        <v>350</v>
      </c>
      <c r="J67" s="330">
        <f t="shared" si="3"/>
        <v>0.22565738955095924</v>
      </c>
    </row>
    <row r="68" spans="1:10" s="49" customFormat="1" ht="12.5">
      <c r="A68" s="262">
        <v>1</v>
      </c>
      <c r="B68" s="261">
        <v>1</v>
      </c>
      <c r="C68" s="56">
        <v>4.0999999999999996</v>
      </c>
      <c r="D68" s="261">
        <v>6.2097000000000003E-3</v>
      </c>
      <c r="E68" s="261">
        <v>1.1000000000000001</v>
      </c>
      <c r="F68" s="327">
        <v>1.1200000000000001</v>
      </c>
      <c r="G68" s="262">
        <f t="shared" si="2"/>
        <v>7.6503504000000012E-3</v>
      </c>
      <c r="I68" s="329">
        <v>350</v>
      </c>
      <c r="J68" s="330">
        <f t="shared" si="3"/>
        <v>0.26312595939466121</v>
      </c>
    </row>
    <row r="69" spans="1:10" s="49" customFormat="1" ht="12.5">
      <c r="A69" s="262">
        <v>1</v>
      </c>
      <c r="B69" s="261">
        <v>1</v>
      </c>
      <c r="C69" s="56">
        <v>4.2</v>
      </c>
      <c r="D69" s="261">
        <v>6.2097000000000003E-3</v>
      </c>
      <c r="E69" s="261">
        <v>1.1000000000000001</v>
      </c>
      <c r="F69" s="327">
        <v>1.1000000000000001</v>
      </c>
      <c r="G69" s="262">
        <f t="shared" si="2"/>
        <v>7.5137370000000012E-3</v>
      </c>
      <c r="I69" s="329">
        <v>350</v>
      </c>
      <c r="J69" s="330">
        <f t="shared" si="3"/>
        <v>0.25396068871083616</v>
      </c>
    </row>
    <row r="70" spans="1:10" s="49" customFormat="1" ht="12.5">
      <c r="A70" s="262">
        <v>1</v>
      </c>
      <c r="B70" s="261">
        <v>1</v>
      </c>
      <c r="C70" s="191">
        <v>4.3</v>
      </c>
      <c r="D70" s="261">
        <v>6.2097000000000003E-3</v>
      </c>
      <c r="E70" s="261">
        <v>1.1000000000000001</v>
      </c>
      <c r="F70" s="327">
        <v>1.08</v>
      </c>
      <c r="G70" s="262">
        <f t="shared" si="2"/>
        <v>7.3771236000000013E-3</v>
      </c>
      <c r="I70" s="329">
        <v>350</v>
      </c>
      <c r="J70" s="330">
        <f t="shared" si="3"/>
        <v>0.24500851634463106</v>
      </c>
    </row>
    <row r="71" spans="1:10" s="49" customFormat="1" ht="12.5">
      <c r="A71" s="262">
        <v>1</v>
      </c>
      <c r="B71" s="261">
        <v>1</v>
      </c>
      <c r="C71" s="191">
        <v>4.4000000000000004</v>
      </c>
      <c r="D71" s="261">
        <v>6.2097000000000003E-3</v>
      </c>
      <c r="E71" s="261">
        <v>1.1000000000000001</v>
      </c>
      <c r="F71" s="327">
        <v>1.06</v>
      </c>
      <c r="G71" s="262">
        <f t="shared" si="2"/>
        <v>7.2405102000000013E-3</v>
      </c>
      <c r="I71" s="329">
        <v>350</v>
      </c>
      <c r="J71" s="330">
        <f t="shared" si="3"/>
        <v>0.23627196975236897</v>
      </c>
    </row>
    <row r="72" spans="1:10" s="49" customFormat="1" ht="12.5">
      <c r="A72" s="262">
        <v>1</v>
      </c>
      <c r="B72" s="261">
        <v>2</v>
      </c>
      <c r="C72" s="56">
        <v>1</v>
      </c>
      <c r="D72" s="261">
        <v>6.2097000000000003E-3</v>
      </c>
      <c r="E72" s="261">
        <v>1.0249999999999999</v>
      </c>
      <c r="F72" s="327">
        <v>1</v>
      </c>
      <c r="G72" s="262">
        <f t="shared" si="2"/>
        <v>6.3649424999999999E-3</v>
      </c>
      <c r="I72" s="329">
        <v>350</v>
      </c>
      <c r="J72" s="330">
        <f t="shared" si="3"/>
        <v>0.18547622905752362</v>
      </c>
    </row>
    <row r="73" spans="1:10" s="49" customFormat="1" ht="12.5">
      <c r="A73" s="262">
        <v>1</v>
      </c>
      <c r="B73" s="261">
        <v>2</v>
      </c>
      <c r="C73" s="56">
        <v>2.1</v>
      </c>
      <c r="D73" s="261">
        <v>6.2097000000000003E-3</v>
      </c>
      <c r="E73" s="261">
        <v>1.0249999999999999</v>
      </c>
      <c r="F73" s="327">
        <v>1.08</v>
      </c>
      <c r="G73" s="262">
        <f t="shared" si="2"/>
        <v>6.8741379000000005E-3</v>
      </c>
      <c r="I73" s="329">
        <v>350</v>
      </c>
      <c r="J73" s="330">
        <f t="shared" si="3"/>
        <v>0.21391965718254802</v>
      </c>
    </row>
    <row r="74" spans="1:10" s="49" customFormat="1" ht="12.5">
      <c r="A74" s="262">
        <v>1</v>
      </c>
      <c r="B74" s="261">
        <v>2</v>
      </c>
      <c r="C74" s="56">
        <v>2.2000000000000002</v>
      </c>
      <c r="D74" s="261">
        <v>6.2097000000000003E-3</v>
      </c>
      <c r="E74" s="261">
        <v>1.0249999999999999</v>
      </c>
      <c r="F74" s="327">
        <v>1.07</v>
      </c>
      <c r="G74" s="262">
        <f t="shared" si="2"/>
        <v>6.8104884750000002E-3</v>
      </c>
      <c r="I74" s="329">
        <v>350</v>
      </c>
      <c r="J74" s="330">
        <f t="shared" si="3"/>
        <v>0.21019742642084066</v>
      </c>
    </row>
    <row r="75" spans="1:10" s="49" customFormat="1" ht="12.5">
      <c r="A75" s="262">
        <v>1</v>
      </c>
      <c r="B75" s="261">
        <v>2</v>
      </c>
      <c r="C75" s="56">
        <v>2.2999999999999998</v>
      </c>
      <c r="D75" s="261">
        <v>6.2097000000000003E-3</v>
      </c>
      <c r="E75" s="261">
        <v>1.0249999999999999</v>
      </c>
      <c r="F75" s="327">
        <v>1.06</v>
      </c>
      <c r="G75" s="262">
        <f t="shared" si="2"/>
        <v>6.7468390499999999E-3</v>
      </c>
      <c r="I75" s="329">
        <v>350</v>
      </c>
      <c r="J75" s="330">
        <f t="shared" si="3"/>
        <v>0.20652294698228896</v>
      </c>
    </row>
    <row r="76" spans="1:10" s="49" customFormat="1" ht="12.5">
      <c r="A76" s="262">
        <v>1</v>
      </c>
      <c r="B76" s="261">
        <v>2</v>
      </c>
      <c r="C76" s="56">
        <v>2.4</v>
      </c>
      <c r="D76" s="261">
        <v>6.2097000000000003E-3</v>
      </c>
      <c r="E76" s="261">
        <v>1.0249999999999999</v>
      </c>
      <c r="F76" s="327">
        <v>1.05</v>
      </c>
      <c r="G76" s="262">
        <f t="shared" si="2"/>
        <v>6.6831896250000005E-3</v>
      </c>
      <c r="I76" s="329">
        <v>350</v>
      </c>
      <c r="J76" s="330">
        <f t="shared" si="3"/>
        <v>0.20289620008205397</v>
      </c>
    </row>
    <row r="77" spans="1:10" s="49" customFormat="1" ht="12.5">
      <c r="A77" s="262">
        <v>1</v>
      </c>
      <c r="B77" s="261">
        <v>2</v>
      </c>
      <c r="C77" s="56">
        <v>3.1</v>
      </c>
      <c r="D77" s="261">
        <v>6.2097000000000003E-3</v>
      </c>
      <c r="E77" s="261">
        <v>1.0249999999999999</v>
      </c>
      <c r="F77" s="327">
        <v>1.02</v>
      </c>
      <c r="G77" s="262">
        <f t="shared" si="2"/>
        <v>6.4922413499999996E-3</v>
      </c>
      <c r="I77" s="329">
        <v>350</v>
      </c>
      <c r="J77" s="330">
        <f t="shared" si="3"/>
        <v>0.192301827141309</v>
      </c>
    </row>
    <row r="78" spans="1:10" s="49" customFormat="1" ht="12.5">
      <c r="A78" s="262">
        <v>1</v>
      </c>
      <c r="B78" s="261">
        <v>2</v>
      </c>
      <c r="C78" s="56">
        <v>3.2</v>
      </c>
      <c r="D78" s="261">
        <v>6.2097000000000003E-3</v>
      </c>
      <c r="E78" s="261">
        <v>1.0249999999999999</v>
      </c>
      <c r="F78" s="327">
        <v>1.0249999999999999</v>
      </c>
      <c r="G78" s="262">
        <f t="shared" si="2"/>
        <v>6.5240660624999993E-3</v>
      </c>
      <c r="I78" s="329">
        <v>350</v>
      </c>
      <c r="J78" s="330">
        <f t="shared" si="3"/>
        <v>0.1940378345375941</v>
      </c>
    </row>
    <row r="79" spans="1:10" s="49" customFormat="1" ht="12.5">
      <c r="A79" s="262">
        <v>1</v>
      </c>
      <c r="B79" s="261">
        <v>2</v>
      </c>
      <c r="C79" s="56">
        <v>3.3</v>
      </c>
      <c r="D79" s="261">
        <v>6.2097000000000003E-3</v>
      </c>
      <c r="E79" s="261">
        <v>1.0249999999999999</v>
      </c>
      <c r="F79" s="327">
        <v>1.03</v>
      </c>
      <c r="G79" s="262">
        <f t="shared" si="2"/>
        <v>6.5558907749999999E-3</v>
      </c>
      <c r="I79" s="329">
        <v>350</v>
      </c>
      <c r="J79" s="330">
        <f t="shared" si="3"/>
        <v>0.19578571491907562</v>
      </c>
    </row>
    <row r="80" spans="1:10" s="49" customFormat="1" ht="12.5">
      <c r="A80" s="262">
        <v>1</v>
      </c>
      <c r="B80" s="261">
        <v>2</v>
      </c>
      <c r="C80" s="56">
        <v>3.4</v>
      </c>
      <c r="D80" s="261">
        <v>6.2097000000000003E-3</v>
      </c>
      <c r="E80" s="261">
        <v>1.0249999999999999</v>
      </c>
      <c r="F80" s="327">
        <v>1.0349999999999999</v>
      </c>
      <c r="G80" s="262">
        <f t="shared" si="2"/>
        <v>6.5877154874999996E-3</v>
      </c>
      <c r="I80" s="329">
        <v>350</v>
      </c>
      <c r="J80" s="330">
        <f t="shared" si="3"/>
        <v>0.19754548096476296</v>
      </c>
    </row>
    <row r="81" spans="1:10" s="49" customFormat="1" ht="12.5">
      <c r="A81" s="262">
        <v>1</v>
      </c>
      <c r="B81" s="261">
        <v>2</v>
      </c>
      <c r="C81" s="56">
        <v>4.0999999999999996</v>
      </c>
      <c r="D81" s="261">
        <v>6.2097000000000003E-3</v>
      </c>
      <c r="E81" s="261">
        <v>1.0249999999999999</v>
      </c>
      <c r="F81" s="327">
        <v>1.1200000000000001</v>
      </c>
      <c r="G81" s="262">
        <f t="shared" si="2"/>
        <v>7.1287356000000008E-3</v>
      </c>
      <c r="I81" s="329">
        <v>350</v>
      </c>
      <c r="J81" s="330">
        <f t="shared" si="3"/>
        <v>0.22928563359826723</v>
      </c>
    </row>
    <row r="82" spans="1:10" s="49" customFormat="1" ht="12.5">
      <c r="A82" s="262">
        <v>1</v>
      </c>
      <c r="B82" s="261">
        <v>2</v>
      </c>
      <c r="C82" s="56">
        <v>4.2</v>
      </c>
      <c r="D82" s="261">
        <v>6.2097000000000003E-3</v>
      </c>
      <c r="E82" s="261">
        <v>1.0249999999999999</v>
      </c>
      <c r="F82" s="327">
        <v>1.1000000000000001</v>
      </c>
      <c r="G82" s="262">
        <f t="shared" si="2"/>
        <v>7.0014367500000002E-3</v>
      </c>
      <c r="I82" s="329">
        <v>350</v>
      </c>
      <c r="J82" s="330">
        <f t="shared" si="3"/>
        <v>0.22150732965007452</v>
      </c>
    </row>
    <row r="83" spans="1:10" s="49" customFormat="1" ht="12.5">
      <c r="A83" s="262">
        <v>1</v>
      </c>
      <c r="B83" s="261">
        <v>2</v>
      </c>
      <c r="C83" s="191">
        <v>4.3</v>
      </c>
      <c r="D83" s="261">
        <v>6.2097000000000003E-3</v>
      </c>
      <c r="E83" s="261">
        <v>1.0249999999999999</v>
      </c>
      <c r="F83" s="327">
        <v>1.08</v>
      </c>
      <c r="G83" s="262">
        <f t="shared" si="2"/>
        <v>6.8741379000000005E-3</v>
      </c>
      <c r="I83" s="329">
        <v>350</v>
      </c>
      <c r="J83" s="330">
        <f t="shared" si="3"/>
        <v>0.21391965718254802</v>
      </c>
    </row>
    <row r="84" spans="1:10" s="49" customFormat="1" ht="12.5">
      <c r="A84" s="262">
        <v>1</v>
      </c>
      <c r="B84" s="261">
        <v>2</v>
      </c>
      <c r="C84" s="191">
        <v>4.4000000000000004</v>
      </c>
      <c r="D84" s="261">
        <v>6.2097000000000003E-3</v>
      </c>
      <c r="E84" s="261">
        <v>1.0249999999999999</v>
      </c>
      <c r="F84" s="327">
        <v>1.06</v>
      </c>
      <c r="G84" s="262">
        <f t="shared" si="2"/>
        <v>6.7468390499999999E-3</v>
      </c>
      <c r="I84" s="329">
        <v>350</v>
      </c>
      <c r="J84" s="330">
        <f t="shared" si="3"/>
        <v>0.20652294698228896</v>
      </c>
    </row>
    <row r="85" spans="1:10" s="49" customFormat="1" ht="12.5">
      <c r="A85" s="262">
        <v>1</v>
      </c>
      <c r="B85" s="261">
        <v>3</v>
      </c>
      <c r="C85" s="56">
        <v>1</v>
      </c>
      <c r="D85" s="261">
        <v>6.2097000000000003E-3</v>
      </c>
      <c r="E85" s="261">
        <v>1</v>
      </c>
      <c r="F85" s="327">
        <v>1</v>
      </c>
      <c r="G85" s="262">
        <f t="shared" si="2"/>
        <v>6.2097000000000003E-3</v>
      </c>
      <c r="I85" s="329">
        <v>350</v>
      </c>
      <c r="J85" s="330">
        <f t="shared" si="3"/>
        <v>0.17740747566888593</v>
      </c>
    </row>
    <row r="86" spans="1:10" s="49" customFormat="1" ht="12.5">
      <c r="A86" s="262">
        <v>1</v>
      </c>
      <c r="B86" s="261">
        <v>3</v>
      </c>
      <c r="C86" s="56">
        <v>2.1</v>
      </c>
      <c r="D86" s="261">
        <v>6.2097000000000003E-3</v>
      </c>
      <c r="E86" s="261">
        <v>1</v>
      </c>
      <c r="F86" s="327">
        <v>1.08</v>
      </c>
      <c r="G86" s="262">
        <f t="shared" si="2"/>
        <v>6.7064760000000011E-3</v>
      </c>
      <c r="I86" s="329">
        <v>350</v>
      </c>
      <c r="J86" s="330">
        <f t="shared" si="3"/>
        <v>0.20421752376277549</v>
      </c>
    </row>
    <row r="87" spans="1:10" s="49" customFormat="1" ht="12.5">
      <c r="A87" s="262">
        <v>1</v>
      </c>
      <c r="B87" s="261">
        <v>3</v>
      </c>
      <c r="C87" s="56">
        <v>2.2000000000000002</v>
      </c>
      <c r="D87" s="261">
        <v>6.2097000000000003E-3</v>
      </c>
      <c r="E87" s="261">
        <v>1</v>
      </c>
      <c r="F87" s="327">
        <v>1.07</v>
      </c>
      <c r="G87" s="262">
        <f t="shared" si="2"/>
        <v>6.6443790000000006E-3</v>
      </c>
      <c r="I87" s="329">
        <v>350</v>
      </c>
      <c r="J87" s="330">
        <f t="shared" si="3"/>
        <v>0.20070817832774637</v>
      </c>
    </row>
    <row r="88" spans="1:10" s="49" customFormat="1" ht="12.5">
      <c r="A88" s="262">
        <v>1</v>
      </c>
      <c r="B88" s="261">
        <v>3</v>
      </c>
      <c r="C88" s="56">
        <v>2.2999999999999998</v>
      </c>
      <c r="D88" s="261">
        <v>6.2097000000000003E-3</v>
      </c>
      <c r="E88" s="261">
        <v>1</v>
      </c>
      <c r="F88" s="327">
        <v>1.06</v>
      </c>
      <c r="G88" s="262">
        <f t="shared" si="2"/>
        <v>6.5822820000000009E-3</v>
      </c>
      <c r="I88" s="329">
        <v>350</v>
      </c>
      <c r="J88" s="330">
        <f t="shared" si="3"/>
        <v>0.19724419119553038</v>
      </c>
    </row>
    <row r="89" spans="1:10" s="49" customFormat="1" ht="12.5">
      <c r="A89" s="262">
        <v>1</v>
      </c>
      <c r="B89" s="261">
        <v>3</v>
      </c>
      <c r="C89" s="56">
        <v>2.4</v>
      </c>
      <c r="D89" s="261">
        <v>6.2097000000000003E-3</v>
      </c>
      <c r="E89" s="261">
        <v>1</v>
      </c>
      <c r="F89" s="327">
        <v>1.05</v>
      </c>
      <c r="G89" s="262">
        <f t="shared" si="2"/>
        <v>6.5201850000000004E-3</v>
      </c>
      <c r="I89" s="329">
        <v>350</v>
      </c>
      <c r="J89" s="330">
        <f t="shared" si="3"/>
        <v>0.19382549091180279</v>
      </c>
    </row>
    <row r="90" spans="1:10" s="49" customFormat="1" ht="12.5">
      <c r="A90" s="262">
        <v>1</v>
      </c>
      <c r="B90" s="261">
        <v>3</v>
      </c>
      <c r="C90" s="56">
        <v>3.1</v>
      </c>
      <c r="D90" s="261">
        <v>6.2097000000000003E-3</v>
      </c>
      <c r="E90" s="261">
        <v>1</v>
      </c>
      <c r="F90" s="327">
        <v>1.02</v>
      </c>
      <c r="G90" s="262">
        <f t="shared" si="2"/>
        <v>6.3338940000000005E-3</v>
      </c>
      <c r="I90" s="329">
        <v>350</v>
      </c>
      <c r="J90" s="330">
        <f t="shared" si="3"/>
        <v>0.18384011123374869</v>
      </c>
    </row>
    <row r="91" spans="1:10" s="49" customFormat="1" ht="12.5">
      <c r="A91" s="262">
        <v>1</v>
      </c>
      <c r="B91" s="261">
        <v>3</v>
      </c>
      <c r="C91" s="56">
        <v>3.2</v>
      </c>
      <c r="D91" s="261">
        <v>6.2097000000000003E-3</v>
      </c>
      <c r="E91" s="261">
        <v>1</v>
      </c>
      <c r="F91" s="327">
        <v>1.0249999999999999</v>
      </c>
      <c r="G91" s="262">
        <f t="shared" si="2"/>
        <v>6.3649424999999999E-3</v>
      </c>
      <c r="I91" s="329">
        <v>350</v>
      </c>
      <c r="J91" s="330">
        <f t="shared" si="3"/>
        <v>0.18547622905752362</v>
      </c>
    </row>
    <row r="92" spans="1:10" s="49" customFormat="1" ht="12.5">
      <c r="A92" s="262">
        <v>1</v>
      </c>
      <c r="B92" s="261">
        <v>3</v>
      </c>
      <c r="C92" s="56">
        <v>3.3</v>
      </c>
      <c r="D92" s="261">
        <v>6.2097000000000003E-3</v>
      </c>
      <c r="E92" s="261">
        <v>1</v>
      </c>
      <c r="F92" s="327">
        <v>1.03</v>
      </c>
      <c r="G92" s="262">
        <f t="shared" si="2"/>
        <v>6.3959910000000002E-3</v>
      </c>
      <c r="I92" s="329">
        <v>350</v>
      </c>
      <c r="J92" s="330">
        <f t="shared" si="3"/>
        <v>0.18712356937452912</v>
      </c>
    </row>
    <row r="93" spans="1:10" s="49" customFormat="1" ht="12.5">
      <c r="A93" s="262">
        <v>1</v>
      </c>
      <c r="B93" s="261">
        <v>3</v>
      </c>
      <c r="C93" s="56">
        <v>3.4</v>
      </c>
      <c r="D93" s="261">
        <v>6.2097000000000003E-3</v>
      </c>
      <c r="E93" s="261">
        <v>1</v>
      </c>
      <c r="F93" s="327">
        <v>1.0349999999999999</v>
      </c>
      <c r="G93" s="262">
        <f t="shared" si="2"/>
        <v>6.4270394999999996E-3</v>
      </c>
      <c r="I93" s="329">
        <v>350</v>
      </c>
      <c r="J93" s="330">
        <f t="shared" si="3"/>
        <v>0.18878214977864827</v>
      </c>
    </row>
    <row r="94" spans="1:10" s="49" customFormat="1" ht="12.5">
      <c r="A94" s="262">
        <v>1</v>
      </c>
      <c r="B94" s="261">
        <v>3</v>
      </c>
      <c r="C94" s="56">
        <v>4.0999999999999996</v>
      </c>
      <c r="D94" s="261">
        <v>6.2097000000000003E-3</v>
      </c>
      <c r="E94" s="261">
        <v>1</v>
      </c>
      <c r="F94" s="327">
        <v>1.1200000000000001</v>
      </c>
      <c r="G94" s="262">
        <f t="shared" si="2"/>
        <v>6.9548640000000007E-3</v>
      </c>
      <c r="I94" s="329">
        <v>350</v>
      </c>
      <c r="J94" s="330">
        <f t="shared" si="3"/>
        <v>0.21870921220104117</v>
      </c>
    </row>
    <row r="95" spans="1:10" s="49" customFormat="1" ht="12.5">
      <c r="A95" s="262">
        <v>1</v>
      </c>
      <c r="B95" s="261">
        <v>3</v>
      </c>
      <c r="C95" s="56">
        <v>4.2</v>
      </c>
      <c r="D95" s="261">
        <v>6.2097000000000003E-3</v>
      </c>
      <c r="E95" s="261">
        <v>1</v>
      </c>
      <c r="F95" s="327">
        <v>1.1000000000000001</v>
      </c>
      <c r="G95" s="262">
        <f t="shared" si="2"/>
        <v>6.8306700000000005E-3</v>
      </c>
      <c r="I95" s="329">
        <v>350</v>
      </c>
      <c r="J95" s="330">
        <f t="shared" si="3"/>
        <v>0.2113724756968145</v>
      </c>
    </row>
    <row r="96" spans="1:10" s="49" customFormat="1" ht="12.5">
      <c r="A96" s="262">
        <v>1</v>
      </c>
      <c r="B96" s="261">
        <v>3</v>
      </c>
      <c r="C96" s="191">
        <v>4.3</v>
      </c>
      <c r="D96" s="261">
        <v>6.2097000000000003E-3</v>
      </c>
      <c r="E96" s="261">
        <v>1</v>
      </c>
      <c r="F96" s="327">
        <v>1.08</v>
      </c>
      <c r="G96" s="262">
        <f t="shared" si="2"/>
        <v>6.7064760000000011E-3</v>
      </c>
      <c r="I96" s="329">
        <v>350</v>
      </c>
      <c r="J96" s="330">
        <f t="shared" si="3"/>
        <v>0.20421752376277549</v>
      </c>
    </row>
    <row r="97" spans="1:10" s="49" customFormat="1" ht="12.5">
      <c r="A97" s="262">
        <v>1</v>
      </c>
      <c r="B97" s="261">
        <v>3</v>
      </c>
      <c r="C97" s="191">
        <v>4.4000000000000004</v>
      </c>
      <c r="D97" s="261">
        <v>6.2097000000000003E-3</v>
      </c>
      <c r="E97" s="261">
        <v>1</v>
      </c>
      <c r="F97" s="327">
        <v>1.06</v>
      </c>
      <c r="G97" s="262">
        <f t="shared" si="2"/>
        <v>6.5822820000000009E-3</v>
      </c>
      <c r="I97" s="329">
        <v>350</v>
      </c>
      <c r="J97" s="330">
        <f t="shared" si="3"/>
        <v>0.19724419119553038</v>
      </c>
    </row>
    <row r="98" spans="1:10" s="49" customFormat="1" ht="12.5">
      <c r="A98" s="262">
        <v>1</v>
      </c>
      <c r="B98" s="261">
        <v>4</v>
      </c>
      <c r="C98" s="56">
        <v>1</v>
      </c>
      <c r="D98" s="261">
        <v>6.2097000000000003E-3</v>
      </c>
      <c r="E98" s="261">
        <v>0.98</v>
      </c>
      <c r="F98" s="327">
        <v>1</v>
      </c>
      <c r="G98" s="262">
        <f t="shared" si="2"/>
        <v>6.0855060000000001E-3</v>
      </c>
      <c r="I98" s="329">
        <v>350</v>
      </c>
      <c r="J98" s="330">
        <f t="shared" si="3"/>
        <v>0.17115272001992968</v>
      </c>
    </row>
    <row r="99" spans="1:10" s="49" customFormat="1" ht="12.5">
      <c r="A99" s="262">
        <v>1</v>
      </c>
      <c r="B99" s="261">
        <v>4</v>
      </c>
      <c r="C99" s="56">
        <v>2.1</v>
      </c>
      <c r="D99" s="261">
        <v>6.2097000000000003E-3</v>
      </c>
      <c r="E99" s="261">
        <v>0.98</v>
      </c>
      <c r="F99" s="327">
        <v>1.08</v>
      </c>
      <c r="G99" s="262">
        <f t="shared" si="2"/>
        <v>6.5723464800000004E-3</v>
      </c>
      <c r="I99" s="329">
        <v>350</v>
      </c>
      <c r="J99" s="330">
        <f t="shared" si="3"/>
        <v>0.19669415800368423</v>
      </c>
    </row>
    <row r="100" spans="1:10" s="49" customFormat="1" ht="12.5">
      <c r="A100" s="262">
        <v>1</v>
      </c>
      <c r="B100" s="261">
        <v>4</v>
      </c>
      <c r="C100" s="56">
        <v>2.2000000000000002</v>
      </c>
      <c r="D100" s="261">
        <v>6.2097000000000003E-3</v>
      </c>
      <c r="E100" s="261">
        <v>0.98</v>
      </c>
      <c r="F100" s="327">
        <v>1.07</v>
      </c>
      <c r="G100" s="262">
        <f t="shared" si="2"/>
        <v>6.5114914200000004E-3</v>
      </c>
      <c r="I100" s="329">
        <v>350</v>
      </c>
      <c r="J100" s="330">
        <f t="shared" si="3"/>
        <v>0.19335048183037207</v>
      </c>
    </row>
    <row r="101" spans="1:10" s="49" customFormat="1" ht="12.5">
      <c r="A101" s="262">
        <v>1</v>
      </c>
      <c r="B101" s="261">
        <v>4</v>
      </c>
      <c r="C101" s="56">
        <v>2.2999999999999998</v>
      </c>
      <c r="D101" s="261">
        <v>6.2097000000000003E-3</v>
      </c>
      <c r="E101" s="261">
        <v>0.98</v>
      </c>
      <c r="F101" s="327">
        <v>1.06</v>
      </c>
      <c r="G101" s="262">
        <f t="shared" si="2"/>
        <v>6.4506363600000003E-3</v>
      </c>
      <c r="I101" s="329">
        <v>350</v>
      </c>
      <c r="J101" s="330">
        <f t="shared" si="3"/>
        <v>0.19005019844839371</v>
      </c>
    </row>
    <row r="102" spans="1:10" s="49" customFormat="1" ht="12.5">
      <c r="A102" s="262">
        <v>1</v>
      </c>
      <c r="B102" s="261">
        <v>4</v>
      </c>
      <c r="C102" s="56">
        <v>2.4</v>
      </c>
      <c r="D102" s="261">
        <v>6.2097000000000003E-3</v>
      </c>
      <c r="E102" s="261">
        <v>0.98</v>
      </c>
      <c r="F102" s="327">
        <v>1.05</v>
      </c>
      <c r="G102" s="262">
        <f t="shared" si="2"/>
        <v>6.3897813000000003E-3</v>
      </c>
      <c r="I102" s="329">
        <v>350</v>
      </c>
      <c r="J102" s="330">
        <f t="shared" si="3"/>
        <v>0.1867932026515034</v>
      </c>
    </row>
    <row r="103" spans="1:10" s="49" customFormat="1" ht="12.5">
      <c r="A103" s="262">
        <v>1</v>
      </c>
      <c r="B103" s="261">
        <v>4</v>
      </c>
      <c r="C103" s="56">
        <v>3.1</v>
      </c>
      <c r="D103" s="261">
        <v>6.2097000000000003E-3</v>
      </c>
      <c r="E103" s="261">
        <v>0.98</v>
      </c>
      <c r="F103" s="327">
        <v>1.02</v>
      </c>
      <c r="G103" s="262">
        <f t="shared" si="2"/>
        <v>6.2072161200000002E-3</v>
      </c>
      <c r="I103" s="329">
        <v>350</v>
      </c>
      <c r="J103" s="330">
        <f t="shared" si="3"/>
        <v>0.17728064230173282</v>
      </c>
    </row>
    <row r="104" spans="1:10" s="49" customFormat="1" ht="12.5">
      <c r="A104" s="262">
        <v>1</v>
      </c>
      <c r="B104" s="261">
        <v>4</v>
      </c>
      <c r="C104" s="56">
        <v>3.2</v>
      </c>
      <c r="D104" s="261">
        <v>6.2097000000000003E-3</v>
      </c>
      <c r="E104" s="261">
        <v>0.98</v>
      </c>
      <c r="F104" s="327">
        <v>1.0249999999999999</v>
      </c>
      <c r="G104" s="262">
        <f t="shared" si="2"/>
        <v>6.2376436499999993E-3</v>
      </c>
      <c r="I104" s="329">
        <v>350</v>
      </c>
      <c r="J104" s="330">
        <f t="shared" si="3"/>
        <v>0.17883925722559355</v>
      </c>
    </row>
    <row r="105" spans="1:10" s="49" customFormat="1" ht="12.5">
      <c r="A105" s="262">
        <v>1</v>
      </c>
      <c r="B105" s="261">
        <v>4</v>
      </c>
      <c r="C105" s="56">
        <v>3.3</v>
      </c>
      <c r="D105" s="261">
        <v>6.2097000000000003E-3</v>
      </c>
      <c r="E105" s="261">
        <v>0.98</v>
      </c>
      <c r="F105" s="327">
        <v>1.03</v>
      </c>
      <c r="G105" s="262">
        <f t="shared" si="2"/>
        <v>6.2680711800000002E-3</v>
      </c>
      <c r="I105" s="329">
        <v>350</v>
      </c>
      <c r="J105" s="330">
        <f t="shared" si="3"/>
        <v>0.18040857032805893</v>
      </c>
    </row>
    <row r="106" spans="1:10" s="49" customFormat="1" ht="12.5">
      <c r="A106" s="262">
        <v>1</v>
      </c>
      <c r="B106" s="261">
        <v>4</v>
      </c>
      <c r="C106" s="56">
        <v>3.4</v>
      </c>
      <c r="D106" s="261">
        <v>6.2097000000000003E-3</v>
      </c>
      <c r="E106" s="261">
        <v>0.98</v>
      </c>
      <c r="F106" s="327">
        <v>1.0349999999999999</v>
      </c>
      <c r="G106" s="262">
        <f t="shared" si="2"/>
        <v>6.2984987099999994E-3</v>
      </c>
      <c r="I106" s="329">
        <v>350</v>
      </c>
      <c r="J106" s="330">
        <f t="shared" si="3"/>
        <v>0.18198860222644786</v>
      </c>
    </row>
    <row r="107" spans="1:10" s="49" customFormat="1" ht="12.5">
      <c r="A107" s="262">
        <v>1</v>
      </c>
      <c r="B107" s="261">
        <v>4</v>
      </c>
      <c r="C107" s="56">
        <v>4.0999999999999996</v>
      </c>
      <c r="D107" s="261">
        <v>6.2097000000000003E-3</v>
      </c>
      <c r="E107" s="261">
        <v>0.98</v>
      </c>
      <c r="F107" s="327">
        <v>1.1200000000000001</v>
      </c>
      <c r="G107" s="262">
        <f t="shared" si="2"/>
        <v>6.8157667200000006E-3</v>
      </c>
      <c r="I107" s="329">
        <v>350</v>
      </c>
      <c r="J107" s="330">
        <f t="shared" si="3"/>
        <v>0.21050428338089069</v>
      </c>
    </row>
    <row r="108" spans="1:10" s="49" customFormat="1" ht="12.5">
      <c r="A108" s="262">
        <v>1</v>
      </c>
      <c r="B108" s="261">
        <v>4</v>
      </c>
      <c r="C108" s="56">
        <v>4.2</v>
      </c>
      <c r="D108" s="261">
        <v>6.2097000000000003E-3</v>
      </c>
      <c r="E108" s="261">
        <v>0.98</v>
      </c>
      <c r="F108" s="327">
        <v>1.1000000000000001</v>
      </c>
      <c r="G108" s="262">
        <f t="shared" si="2"/>
        <v>6.6940566000000005E-3</v>
      </c>
      <c r="I108" s="329">
        <v>350</v>
      </c>
      <c r="J108" s="330">
        <f t="shared" si="3"/>
        <v>0.20351202324316481</v>
      </c>
    </row>
    <row r="109" spans="1:10" s="49" customFormat="1" ht="12.5">
      <c r="A109" s="262">
        <v>1</v>
      </c>
      <c r="B109" s="261">
        <v>4</v>
      </c>
      <c r="C109" s="191">
        <v>4.3</v>
      </c>
      <c r="D109" s="261">
        <v>6.2097000000000003E-3</v>
      </c>
      <c r="E109" s="261">
        <v>0.98</v>
      </c>
      <c r="F109" s="327">
        <v>1.08</v>
      </c>
      <c r="G109" s="262">
        <f t="shared" si="2"/>
        <v>6.5723464800000004E-3</v>
      </c>
      <c r="I109" s="329">
        <v>350</v>
      </c>
      <c r="J109" s="330">
        <f t="shared" si="3"/>
        <v>0.19669415800368423</v>
      </c>
    </row>
    <row r="110" spans="1:10" s="49" customFormat="1" ht="12.5">
      <c r="A110" s="262">
        <v>1</v>
      </c>
      <c r="B110" s="261">
        <v>4</v>
      </c>
      <c r="C110" s="191">
        <v>4.4000000000000004</v>
      </c>
      <c r="D110" s="261">
        <v>6.2097000000000003E-3</v>
      </c>
      <c r="E110" s="261">
        <v>0.98</v>
      </c>
      <c r="F110" s="327">
        <v>1.06</v>
      </c>
      <c r="G110" s="262">
        <f t="shared" si="2"/>
        <v>6.4506363600000003E-3</v>
      </c>
      <c r="I110" s="329">
        <v>350</v>
      </c>
      <c r="J110" s="330">
        <f t="shared" si="3"/>
        <v>0.19005019844839371</v>
      </c>
    </row>
    <row r="111" spans="1:10" s="49" customFormat="1" ht="12.5">
      <c r="A111" s="262">
        <v>1</v>
      </c>
      <c r="B111" s="261">
        <v>5</v>
      </c>
      <c r="C111" s="56">
        <v>1</v>
      </c>
      <c r="D111" s="261">
        <v>6.2097000000000003E-3</v>
      </c>
      <c r="E111" s="261">
        <v>0.95</v>
      </c>
      <c r="F111" s="327">
        <v>1</v>
      </c>
      <c r="G111" s="262">
        <f t="shared" si="2"/>
        <v>5.8992150000000002E-3</v>
      </c>
      <c r="I111" s="329">
        <v>350</v>
      </c>
      <c r="J111" s="330">
        <f t="shared" si="3"/>
        <v>0.16210051941042442</v>
      </c>
    </row>
    <row r="112" spans="1:10" s="49" customFormat="1" ht="12.5">
      <c r="A112" s="262">
        <v>1</v>
      </c>
      <c r="B112" s="261">
        <v>5</v>
      </c>
      <c r="C112" s="56">
        <v>2.1</v>
      </c>
      <c r="D112" s="261">
        <v>6.2097000000000003E-3</v>
      </c>
      <c r="E112" s="261">
        <v>0.95</v>
      </c>
      <c r="F112" s="327">
        <v>1.08</v>
      </c>
      <c r="G112" s="262">
        <f t="shared" si="2"/>
        <v>6.3711522000000007E-3</v>
      </c>
      <c r="I112" s="329">
        <v>350</v>
      </c>
      <c r="J112" s="330">
        <f t="shared" si="3"/>
        <v>0.18580479874283359</v>
      </c>
    </row>
    <row r="113" spans="1:10" s="49" customFormat="1" ht="12.5">
      <c r="A113" s="262">
        <v>1</v>
      </c>
      <c r="B113" s="261">
        <v>5</v>
      </c>
      <c r="C113" s="56">
        <v>2.2000000000000002</v>
      </c>
      <c r="D113" s="261">
        <v>6.2097000000000003E-3</v>
      </c>
      <c r="E113" s="261">
        <v>0.95</v>
      </c>
      <c r="F113" s="327">
        <v>1.07</v>
      </c>
      <c r="G113" s="262">
        <f t="shared" si="2"/>
        <v>6.3121600500000005E-3</v>
      </c>
      <c r="I113" s="329">
        <v>350</v>
      </c>
      <c r="J113" s="330">
        <f t="shared" si="3"/>
        <v>0.18270149618487744</v>
      </c>
    </row>
    <row r="114" spans="1:10" s="49" customFormat="1" ht="12.5">
      <c r="A114" s="262">
        <v>1</v>
      </c>
      <c r="B114" s="261">
        <v>5</v>
      </c>
      <c r="C114" s="56">
        <v>2.2999999999999998</v>
      </c>
      <c r="D114" s="261">
        <v>6.2097000000000003E-3</v>
      </c>
      <c r="E114" s="261">
        <v>0.95</v>
      </c>
      <c r="F114" s="327">
        <v>1.06</v>
      </c>
      <c r="G114" s="262">
        <f t="shared" si="2"/>
        <v>6.2531679000000003E-3</v>
      </c>
      <c r="I114" s="329">
        <v>350</v>
      </c>
      <c r="J114" s="330">
        <f t="shared" si="3"/>
        <v>0.17963858914180156</v>
      </c>
    </row>
    <row r="115" spans="1:10" s="49" customFormat="1" ht="12.5">
      <c r="A115" s="262">
        <v>1</v>
      </c>
      <c r="B115" s="261">
        <v>5</v>
      </c>
      <c r="C115" s="56">
        <v>2.4</v>
      </c>
      <c r="D115" s="261">
        <v>6.2097000000000003E-3</v>
      </c>
      <c r="E115" s="261">
        <v>0.95</v>
      </c>
      <c r="F115" s="327">
        <v>1.05</v>
      </c>
      <c r="G115" s="262">
        <f t="shared" si="2"/>
        <v>6.1941757500000002E-3</v>
      </c>
      <c r="I115" s="329">
        <v>350</v>
      </c>
      <c r="J115" s="330">
        <f t="shared" si="3"/>
        <v>0.17661593412374982</v>
      </c>
    </row>
    <row r="116" spans="1:10" s="49" customFormat="1" ht="12.5">
      <c r="A116" s="262">
        <v>1</v>
      </c>
      <c r="B116" s="261">
        <v>5</v>
      </c>
      <c r="C116" s="56">
        <v>3.1</v>
      </c>
      <c r="D116" s="261">
        <v>6.2097000000000003E-3</v>
      </c>
      <c r="E116" s="261">
        <v>0.95</v>
      </c>
      <c r="F116" s="327">
        <v>1.02</v>
      </c>
      <c r="G116" s="262">
        <f t="shared" si="2"/>
        <v>6.0171993000000005E-3</v>
      </c>
      <c r="I116" s="329">
        <v>350</v>
      </c>
      <c r="J116" s="330">
        <f t="shared" si="3"/>
        <v>0.16778785122694978</v>
      </c>
    </row>
    <row r="117" spans="1:10" s="49" customFormat="1" ht="12.5">
      <c r="A117" s="262">
        <v>1</v>
      </c>
      <c r="B117" s="261">
        <v>5</v>
      </c>
      <c r="C117" s="56">
        <v>3.2</v>
      </c>
      <c r="D117" s="261">
        <v>6.2097000000000003E-3</v>
      </c>
      <c r="E117" s="261">
        <v>0.95</v>
      </c>
      <c r="F117" s="327">
        <v>1.0249999999999999</v>
      </c>
      <c r="G117" s="262">
        <f t="shared" si="2"/>
        <v>6.0466953749999993E-3</v>
      </c>
      <c r="I117" s="329">
        <v>350</v>
      </c>
      <c r="J117" s="330">
        <f t="shared" si="3"/>
        <v>0.16923433976848379</v>
      </c>
    </row>
    <row r="118" spans="1:10" s="49" customFormat="1" ht="12.5">
      <c r="A118" s="262">
        <v>1</v>
      </c>
      <c r="B118" s="261">
        <v>5</v>
      </c>
      <c r="C118" s="56">
        <v>3.3</v>
      </c>
      <c r="D118" s="261">
        <v>6.2097000000000003E-3</v>
      </c>
      <c r="E118" s="261">
        <v>0.95</v>
      </c>
      <c r="F118" s="327">
        <v>1.03</v>
      </c>
      <c r="G118" s="262">
        <f t="shared" si="2"/>
        <v>6.0761914500000007E-3</v>
      </c>
      <c r="I118" s="329">
        <v>350</v>
      </c>
      <c r="J118" s="330">
        <f t="shared" si="3"/>
        <v>0.1706907407217951</v>
      </c>
    </row>
    <row r="119" spans="1:10" s="49" customFormat="1" ht="12.5">
      <c r="A119" s="262">
        <v>1</v>
      </c>
      <c r="B119" s="261">
        <v>5</v>
      </c>
      <c r="C119" s="56">
        <v>3.4</v>
      </c>
      <c r="D119" s="261">
        <v>6.2097000000000003E-3</v>
      </c>
      <c r="E119" s="261">
        <v>0.95</v>
      </c>
      <c r="F119" s="327">
        <v>1.0349999999999999</v>
      </c>
      <c r="G119" s="262">
        <f t="shared" si="2"/>
        <v>6.1056875249999995E-3</v>
      </c>
      <c r="I119" s="329">
        <v>350</v>
      </c>
      <c r="J119" s="330">
        <f t="shared" si="3"/>
        <v>0.17215707791953994</v>
      </c>
    </row>
    <row r="120" spans="1:10" s="49" customFormat="1" ht="12.5">
      <c r="A120" s="262">
        <v>1</v>
      </c>
      <c r="B120" s="261">
        <v>5</v>
      </c>
      <c r="C120" s="56">
        <v>4.0999999999999996</v>
      </c>
      <c r="D120" s="261">
        <v>6.2097000000000003E-3</v>
      </c>
      <c r="E120" s="261">
        <v>0.95</v>
      </c>
      <c r="F120" s="327">
        <v>1.1200000000000001</v>
      </c>
      <c r="G120" s="262">
        <f t="shared" si="2"/>
        <v>6.6071208000000005E-3</v>
      </c>
      <c r="I120" s="329">
        <v>350</v>
      </c>
      <c r="J120" s="330">
        <f t="shared" si="3"/>
        <v>0.19862434718775013</v>
      </c>
    </row>
    <row r="121" spans="1:10" s="49" customFormat="1" ht="12.5">
      <c r="A121" s="262">
        <v>1</v>
      </c>
      <c r="B121" s="261">
        <v>5</v>
      </c>
      <c r="C121" s="56">
        <v>4.2</v>
      </c>
      <c r="D121" s="261">
        <v>6.2097000000000003E-3</v>
      </c>
      <c r="E121" s="261">
        <v>0.95</v>
      </c>
      <c r="F121" s="327">
        <v>1.1000000000000001</v>
      </c>
      <c r="G121" s="262">
        <f t="shared" si="2"/>
        <v>6.489136500000001E-3</v>
      </c>
      <c r="I121" s="329">
        <v>350</v>
      </c>
      <c r="J121" s="330">
        <f t="shared" si="3"/>
        <v>0.19213309572829326</v>
      </c>
    </row>
    <row r="122" spans="1:10" s="49" customFormat="1" ht="12.5">
      <c r="A122" s="262">
        <v>1</v>
      </c>
      <c r="B122" s="261">
        <v>5</v>
      </c>
      <c r="C122" s="191">
        <v>4.3</v>
      </c>
      <c r="D122" s="261">
        <v>6.2097000000000003E-3</v>
      </c>
      <c r="E122" s="261">
        <v>0.95</v>
      </c>
      <c r="F122" s="327">
        <v>1.08</v>
      </c>
      <c r="G122" s="262">
        <f t="shared" si="2"/>
        <v>6.3711522000000007E-3</v>
      </c>
      <c r="I122" s="329">
        <v>350</v>
      </c>
      <c r="J122" s="330">
        <f t="shared" si="3"/>
        <v>0.18580479874283359</v>
      </c>
    </row>
    <row r="123" spans="1:10" s="49" customFormat="1" ht="12.5">
      <c r="A123" s="262">
        <v>1</v>
      </c>
      <c r="B123" s="261">
        <v>5</v>
      </c>
      <c r="C123" s="191">
        <v>4.4000000000000004</v>
      </c>
      <c r="D123" s="261">
        <v>6.2097000000000003E-3</v>
      </c>
      <c r="E123" s="261">
        <v>0.95</v>
      </c>
      <c r="F123" s="327">
        <v>1.06</v>
      </c>
      <c r="G123" s="262">
        <f t="shared" ref="G123:G186" si="4">D123*E123*F123</f>
        <v>6.2531679000000003E-3</v>
      </c>
      <c r="I123" s="329">
        <v>350</v>
      </c>
      <c r="J123" s="330">
        <f t="shared" si="3"/>
        <v>0.17963858914180156</v>
      </c>
    </row>
    <row r="124" spans="1:10" s="49" customFormat="1" ht="12.5">
      <c r="A124" s="262">
        <v>2</v>
      </c>
      <c r="B124" s="261">
        <v>1</v>
      </c>
      <c r="C124" s="56">
        <v>1</v>
      </c>
      <c r="D124" s="261">
        <f t="shared" ref="D124:D187" si="5">0.019316867+0.0025638*B124-0.00078866667*B124*B124</f>
        <v>2.1092000330000003E-2</v>
      </c>
      <c r="E124" s="261">
        <v>1.1000000000000001</v>
      </c>
      <c r="F124" s="327">
        <v>1</v>
      </c>
      <c r="G124" s="262">
        <f t="shared" si="4"/>
        <v>2.3201200363000003E-2</v>
      </c>
      <c r="I124" s="329">
        <v>350</v>
      </c>
      <c r="J124" s="330">
        <f t="shared" ref="J124:J187" si="6">$B$8/(1+$D$8*EXP(-G124*I124))</f>
        <v>0.98802649672970655</v>
      </c>
    </row>
    <row r="125" spans="1:10" s="49" customFormat="1" ht="12.5">
      <c r="A125" s="262">
        <v>2</v>
      </c>
      <c r="B125" s="261">
        <v>1</v>
      </c>
      <c r="C125" s="56">
        <v>2.1</v>
      </c>
      <c r="D125" s="261">
        <f t="shared" si="5"/>
        <v>2.1092000330000003E-2</v>
      </c>
      <c r="E125" s="261">
        <v>1.1000000000000001</v>
      </c>
      <c r="F125" s="327">
        <v>1.08</v>
      </c>
      <c r="G125" s="262">
        <f t="shared" si="4"/>
        <v>2.5057296392040004E-2</v>
      </c>
      <c r="I125" s="329">
        <v>350</v>
      </c>
      <c r="J125" s="330">
        <f t="shared" si="6"/>
        <v>0.99371101646185178</v>
      </c>
    </row>
    <row r="126" spans="1:10" s="49" customFormat="1" ht="12.5">
      <c r="A126" s="262">
        <v>2</v>
      </c>
      <c r="B126" s="261">
        <v>1</v>
      </c>
      <c r="C126" s="56">
        <v>2.2000000000000002</v>
      </c>
      <c r="D126" s="261">
        <f t="shared" si="5"/>
        <v>2.1092000330000003E-2</v>
      </c>
      <c r="E126" s="261">
        <v>1.1000000000000001</v>
      </c>
      <c r="F126" s="327">
        <v>1.07</v>
      </c>
      <c r="G126" s="262">
        <f t="shared" si="4"/>
        <v>2.4825284388410005E-2</v>
      </c>
      <c r="I126" s="329">
        <v>350</v>
      </c>
      <c r="J126" s="330">
        <f t="shared" si="6"/>
        <v>0.99318264340392903</v>
      </c>
    </row>
    <row r="127" spans="1:10" s="49" customFormat="1" ht="12.5">
      <c r="A127" s="262">
        <v>2</v>
      </c>
      <c r="B127" s="261">
        <v>1</v>
      </c>
      <c r="C127" s="56">
        <v>2.2999999999999998</v>
      </c>
      <c r="D127" s="261">
        <f t="shared" si="5"/>
        <v>2.1092000330000003E-2</v>
      </c>
      <c r="E127" s="261">
        <v>1.1000000000000001</v>
      </c>
      <c r="F127" s="327">
        <v>1.06</v>
      </c>
      <c r="G127" s="262">
        <f t="shared" si="4"/>
        <v>2.4593272384780006E-2</v>
      </c>
      <c r="I127" s="329">
        <v>350</v>
      </c>
      <c r="J127" s="330">
        <f t="shared" si="6"/>
        <v>0.99261020885941154</v>
      </c>
    </row>
    <row r="128" spans="1:10" s="49" customFormat="1" ht="12.5">
      <c r="A128" s="262">
        <v>2</v>
      </c>
      <c r="B128" s="261">
        <v>1</v>
      </c>
      <c r="C128" s="56">
        <v>2.4</v>
      </c>
      <c r="D128" s="261">
        <f t="shared" si="5"/>
        <v>2.1092000330000003E-2</v>
      </c>
      <c r="E128" s="261">
        <v>1.1000000000000001</v>
      </c>
      <c r="F128" s="327">
        <v>1.05</v>
      </c>
      <c r="G128" s="262">
        <f t="shared" si="4"/>
        <v>2.4361260381150003E-2</v>
      </c>
      <c r="I128" s="329">
        <v>350</v>
      </c>
      <c r="J128" s="330">
        <f t="shared" si="6"/>
        <v>0.99199009621692147</v>
      </c>
    </row>
    <row r="129" spans="1:10" s="49" customFormat="1" ht="12.5">
      <c r="A129" s="262">
        <v>2</v>
      </c>
      <c r="B129" s="261">
        <v>1</v>
      </c>
      <c r="C129" s="56">
        <v>3.1</v>
      </c>
      <c r="D129" s="261">
        <f t="shared" si="5"/>
        <v>2.1092000330000003E-2</v>
      </c>
      <c r="E129" s="261">
        <v>1.1000000000000001</v>
      </c>
      <c r="F129" s="327">
        <v>1.02</v>
      </c>
      <c r="G129" s="262">
        <f t="shared" si="4"/>
        <v>2.3665224370260005E-2</v>
      </c>
      <c r="I129" s="329">
        <v>350</v>
      </c>
      <c r="J129" s="330">
        <f t="shared" si="6"/>
        <v>0.98980309484183404</v>
      </c>
    </row>
    <row r="130" spans="1:10" s="49" customFormat="1" ht="12.5">
      <c r="A130" s="262">
        <v>2</v>
      </c>
      <c r="B130" s="261">
        <v>1</v>
      </c>
      <c r="C130" s="56">
        <v>3.2</v>
      </c>
      <c r="D130" s="261">
        <f t="shared" si="5"/>
        <v>2.1092000330000003E-2</v>
      </c>
      <c r="E130" s="261">
        <v>1.1000000000000001</v>
      </c>
      <c r="F130" s="327">
        <v>1.0249999999999999</v>
      </c>
      <c r="G130" s="262">
        <f t="shared" si="4"/>
        <v>2.3781230372075E-2</v>
      </c>
      <c r="I130" s="329">
        <v>350</v>
      </c>
      <c r="J130" s="330">
        <f t="shared" si="6"/>
        <v>0.99020484413971555</v>
      </c>
    </row>
    <row r="131" spans="1:10" s="49" customFormat="1" ht="12.5">
      <c r="A131" s="262">
        <v>2</v>
      </c>
      <c r="B131" s="261">
        <v>1</v>
      </c>
      <c r="C131" s="56">
        <v>3.3</v>
      </c>
      <c r="D131" s="261">
        <f t="shared" si="5"/>
        <v>2.1092000330000003E-2</v>
      </c>
      <c r="E131" s="261">
        <v>1.1000000000000001</v>
      </c>
      <c r="F131" s="327">
        <v>1.03</v>
      </c>
      <c r="G131" s="262">
        <f t="shared" si="4"/>
        <v>2.3897236373890005E-2</v>
      </c>
      <c r="I131" s="329">
        <v>350</v>
      </c>
      <c r="J131" s="330">
        <f t="shared" si="6"/>
        <v>0.9905909153273238</v>
      </c>
    </row>
    <row r="132" spans="1:10" s="49" customFormat="1" ht="12.5">
      <c r="A132" s="262">
        <v>2</v>
      </c>
      <c r="B132" s="261">
        <v>1</v>
      </c>
      <c r="C132" s="56">
        <v>3.4</v>
      </c>
      <c r="D132" s="261">
        <f t="shared" si="5"/>
        <v>2.1092000330000003E-2</v>
      </c>
      <c r="E132" s="261">
        <v>1.1000000000000001</v>
      </c>
      <c r="F132" s="327">
        <v>1.0349999999999999</v>
      </c>
      <c r="G132" s="262">
        <f t="shared" si="4"/>
        <v>2.4013242375705002E-2</v>
      </c>
      <c r="I132" s="329">
        <v>350</v>
      </c>
      <c r="J132" s="330">
        <f t="shared" si="6"/>
        <v>0.9909619086027629</v>
      </c>
    </row>
    <row r="133" spans="1:10" s="49" customFormat="1" ht="12.5">
      <c r="A133" s="262">
        <v>2</v>
      </c>
      <c r="B133" s="261">
        <v>1</v>
      </c>
      <c r="C133" s="56">
        <v>4.0999999999999996</v>
      </c>
      <c r="D133" s="261">
        <f t="shared" si="5"/>
        <v>2.1092000330000003E-2</v>
      </c>
      <c r="E133" s="261">
        <v>1.1000000000000001</v>
      </c>
      <c r="F133" s="327">
        <v>1.1200000000000001</v>
      </c>
      <c r="G133" s="262">
        <f t="shared" si="4"/>
        <v>2.5985344406560005E-2</v>
      </c>
      <c r="I133" s="329">
        <v>350</v>
      </c>
      <c r="J133" s="330">
        <f t="shared" si="6"/>
        <v>0.99544726403071071</v>
      </c>
    </row>
    <row r="134" spans="1:10" s="49" customFormat="1" ht="12.5">
      <c r="A134" s="262">
        <v>2</v>
      </c>
      <c r="B134" s="261">
        <v>1</v>
      </c>
      <c r="C134" s="56">
        <v>4.2</v>
      </c>
      <c r="D134" s="261">
        <f t="shared" si="5"/>
        <v>2.1092000330000003E-2</v>
      </c>
      <c r="E134" s="261">
        <v>1.1000000000000001</v>
      </c>
      <c r="F134" s="327">
        <v>1.1000000000000001</v>
      </c>
      <c r="G134" s="262">
        <f t="shared" si="4"/>
        <v>2.5521320399300006E-2</v>
      </c>
      <c r="I134" s="329">
        <v>350</v>
      </c>
      <c r="J134" s="330">
        <f t="shared" si="6"/>
        <v>0.99464872817588312</v>
      </c>
    </row>
    <row r="135" spans="1:10" s="49" customFormat="1" ht="12.5">
      <c r="A135" s="262">
        <v>2</v>
      </c>
      <c r="B135" s="261">
        <v>1</v>
      </c>
      <c r="C135" s="191">
        <v>4.3</v>
      </c>
      <c r="D135" s="261">
        <f t="shared" si="5"/>
        <v>2.1092000330000003E-2</v>
      </c>
      <c r="E135" s="261">
        <v>1.1000000000000001</v>
      </c>
      <c r="F135" s="327">
        <v>1.08</v>
      </c>
      <c r="G135" s="262">
        <f t="shared" si="4"/>
        <v>2.5057296392040004E-2</v>
      </c>
      <c r="I135" s="329">
        <v>350</v>
      </c>
      <c r="J135" s="330">
        <f t="shared" si="6"/>
        <v>0.99371101646185178</v>
      </c>
    </row>
    <row r="136" spans="1:10" s="49" customFormat="1" ht="12.5">
      <c r="A136" s="262">
        <v>2</v>
      </c>
      <c r="B136" s="261">
        <v>1</v>
      </c>
      <c r="C136" s="191">
        <v>4.4000000000000004</v>
      </c>
      <c r="D136" s="261">
        <f t="shared" si="5"/>
        <v>2.1092000330000003E-2</v>
      </c>
      <c r="E136" s="261">
        <v>1.1000000000000001</v>
      </c>
      <c r="F136" s="327">
        <v>1.06</v>
      </c>
      <c r="G136" s="262">
        <f t="shared" si="4"/>
        <v>2.4593272384780006E-2</v>
      </c>
      <c r="I136" s="329">
        <v>350</v>
      </c>
      <c r="J136" s="330">
        <f t="shared" si="6"/>
        <v>0.99261020885941154</v>
      </c>
    </row>
    <row r="137" spans="1:10" s="49" customFormat="1" ht="12.5">
      <c r="A137" s="262">
        <v>2</v>
      </c>
      <c r="B137" s="261">
        <v>2</v>
      </c>
      <c r="C137" s="56">
        <v>1</v>
      </c>
      <c r="D137" s="261">
        <f t="shared" si="5"/>
        <v>2.128980032E-2</v>
      </c>
      <c r="E137" s="261">
        <v>1.0249999999999999</v>
      </c>
      <c r="F137" s="327">
        <v>1</v>
      </c>
      <c r="G137" s="262">
        <f t="shared" si="4"/>
        <v>2.1822045327999997E-2</v>
      </c>
      <c r="I137" s="329">
        <v>350</v>
      </c>
      <c r="J137" s="330">
        <f t="shared" si="6"/>
        <v>0.98074060677655772</v>
      </c>
    </row>
    <row r="138" spans="1:10" s="49" customFormat="1" ht="12.5">
      <c r="A138" s="262">
        <v>2</v>
      </c>
      <c r="B138" s="261">
        <v>2</v>
      </c>
      <c r="C138" s="56">
        <v>2.1</v>
      </c>
      <c r="D138" s="261">
        <f t="shared" si="5"/>
        <v>2.128980032E-2</v>
      </c>
      <c r="E138" s="261">
        <v>1.0249999999999999</v>
      </c>
      <c r="F138" s="327">
        <v>1.08</v>
      </c>
      <c r="G138" s="262">
        <f t="shared" si="4"/>
        <v>2.3567808954239999E-2</v>
      </c>
      <c r="I138" s="329">
        <v>350</v>
      </c>
      <c r="J138" s="330">
        <f t="shared" si="6"/>
        <v>0.98945316247701276</v>
      </c>
    </row>
    <row r="139" spans="1:10" s="49" customFormat="1" ht="12.5">
      <c r="A139" s="262">
        <v>2</v>
      </c>
      <c r="B139" s="261">
        <v>2</v>
      </c>
      <c r="C139" s="56">
        <v>2.2000000000000002</v>
      </c>
      <c r="D139" s="261">
        <f t="shared" si="5"/>
        <v>2.128980032E-2</v>
      </c>
      <c r="E139" s="261">
        <v>1.0249999999999999</v>
      </c>
      <c r="F139" s="327">
        <v>1.07</v>
      </c>
      <c r="G139" s="262">
        <f t="shared" si="4"/>
        <v>2.3349588500959997E-2</v>
      </c>
      <c r="I139" s="329">
        <v>350</v>
      </c>
      <c r="J139" s="330">
        <f t="shared" si="6"/>
        <v>0.98862558579818316</v>
      </c>
    </row>
    <row r="140" spans="1:10" s="49" customFormat="1" ht="12.5">
      <c r="A140" s="262">
        <v>2</v>
      </c>
      <c r="B140" s="261">
        <v>2</v>
      </c>
      <c r="C140" s="56">
        <v>2.2999999999999998</v>
      </c>
      <c r="D140" s="261">
        <f t="shared" si="5"/>
        <v>2.128980032E-2</v>
      </c>
      <c r="E140" s="261">
        <v>1.0249999999999999</v>
      </c>
      <c r="F140" s="327">
        <v>1.06</v>
      </c>
      <c r="G140" s="262">
        <f t="shared" si="4"/>
        <v>2.3131368047679998E-2</v>
      </c>
      <c r="I140" s="329">
        <v>350</v>
      </c>
      <c r="J140" s="330">
        <f t="shared" si="6"/>
        <v>0.98773387683801994</v>
      </c>
    </row>
    <row r="141" spans="1:10" s="49" customFormat="1" ht="12.5">
      <c r="A141" s="262">
        <v>2</v>
      </c>
      <c r="B141" s="261">
        <v>2</v>
      </c>
      <c r="C141" s="56">
        <v>2.4</v>
      </c>
      <c r="D141" s="261">
        <f t="shared" si="5"/>
        <v>2.128980032E-2</v>
      </c>
      <c r="E141" s="261">
        <v>1.0249999999999999</v>
      </c>
      <c r="F141" s="327">
        <v>1.05</v>
      </c>
      <c r="G141" s="262">
        <f t="shared" si="4"/>
        <v>2.2913147594399996E-2</v>
      </c>
      <c r="I141" s="329">
        <v>350</v>
      </c>
      <c r="J141" s="330">
        <f t="shared" si="6"/>
        <v>0.9867731967091159</v>
      </c>
    </row>
    <row r="142" spans="1:10" s="49" customFormat="1" ht="12.5">
      <c r="A142" s="262">
        <v>2</v>
      </c>
      <c r="B142" s="261">
        <v>2</v>
      </c>
      <c r="C142" s="56">
        <v>3.1</v>
      </c>
      <c r="D142" s="261">
        <f t="shared" si="5"/>
        <v>2.128980032E-2</v>
      </c>
      <c r="E142" s="261">
        <v>1.0249999999999999</v>
      </c>
      <c r="F142" s="327">
        <v>1.02</v>
      </c>
      <c r="G142" s="262">
        <f t="shared" si="4"/>
        <v>2.2258486234559997E-2</v>
      </c>
      <c r="I142" s="329">
        <v>350</v>
      </c>
      <c r="J142" s="330">
        <f t="shared" si="6"/>
        <v>0.98342365652358799</v>
      </c>
    </row>
    <row r="143" spans="1:10" s="49" customFormat="1" ht="12.5">
      <c r="A143" s="262">
        <v>2</v>
      </c>
      <c r="B143" s="261">
        <v>2</v>
      </c>
      <c r="C143" s="56">
        <v>3.2</v>
      </c>
      <c r="D143" s="261">
        <f t="shared" si="5"/>
        <v>2.128980032E-2</v>
      </c>
      <c r="E143" s="261">
        <v>1.0249999999999999</v>
      </c>
      <c r="F143" s="327">
        <v>1.0249999999999999</v>
      </c>
      <c r="G143" s="262">
        <f t="shared" si="4"/>
        <v>2.2367596461199995E-2</v>
      </c>
      <c r="I143" s="329">
        <v>350</v>
      </c>
      <c r="J143" s="330">
        <f t="shared" si="6"/>
        <v>0.98403483289584626</v>
      </c>
    </row>
    <row r="144" spans="1:10" s="49" customFormat="1" ht="12.5">
      <c r="A144" s="262">
        <v>2</v>
      </c>
      <c r="B144" s="261">
        <v>2</v>
      </c>
      <c r="C144" s="56">
        <v>3.3</v>
      </c>
      <c r="D144" s="261">
        <f t="shared" si="5"/>
        <v>2.128980032E-2</v>
      </c>
      <c r="E144" s="261">
        <v>1.0249999999999999</v>
      </c>
      <c r="F144" s="327">
        <v>1.03</v>
      </c>
      <c r="G144" s="262">
        <f t="shared" si="4"/>
        <v>2.2476706687839996E-2</v>
      </c>
      <c r="I144" s="329">
        <v>350</v>
      </c>
      <c r="J144" s="330">
        <f t="shared" si="6"/>
        <v>0.98462382728425268</v>
      </c>
    </row>
    <row r="145" spans="1:10" s="49" customFormat="1" ht="12.5">
      <c r="A145" s="262">
        <v>2</v>
      </c>
      <c r="B145" s="261">
        <v>2</v>
      </c>
      <c r="C145" s="56">
        <v>3.4</v>
      </c>
      <c r="D145" s="261">
        <f t="shared" si="5"/>
        <v>2.128980032E-2</v>
      </c>
      <c r="E145" s="261">
        <v>1.0249999999999999</v>
      </c>
      <c r="F145" s="327">
        <v>1.0349999999999999</v>
      </c>
      <c r="G145" s="262">
        <f t="shared" si="4"/>
        <v>2.2585816914479997E-2</v>
      </c>
      <c r="I145" s="329">
        <v>350</v>
      </c>
      <c r="J145" s="330">
        <f t="shared" si="6"/>
        <v>0.98519141922012621</v>
      </c>
    </row>
    <row r="146" spans="1:10" s="49" customFormat="1" ht="12.5">
      <c r="A146" s="262">
        <v>2</v>
      </c>
      <c r="B146" s="261">
        <v>2</v>
      </c>
      <c r="C146" s="56">
        <v>4.0999999999999996</v>
      </c>
      <c r="D146" s="261">
        <f t="shared" si="5"/>
        <v>2.128980032E-2</v>
      </c>
      <c r="E146" s="261">
        <v>1.0249999999999999</v>
      </c>
      <c r="F146" s="327">
        <v>1.1200000000000001</v>
      </c>
      <c r="G146" s="262">
        <f t="shared" si="4"/>
        <v>2.4440690767359999E-2</v>
      </c>
      <c r="I146" s="329">
        <v>350</v>
      </c>
      <c r="J146" s="330">
        <f t="shared" si="6"/>
        <v>0.99220799855783248</v>
      </c>
    </row>
    <row r="147" spans="1:10" s="49" customFormat="1" ht="12.5">
      <c r="A147" s="262">
        <v>2</v>
      </c>
      <c r="B147" s="261">
        <v>2</v>
      </c>
      <c r="C147" s="56">
        <v>4.2</v>
      </c>
      <c r="D147" s="261">
        <f t="shared" si="5"/>
        <v>2.128980032E-2</v>
      </c>
      <c r="E147" s="261">
        <v>1.0249999999999999</v>
      </c>
      <c r="F147" s="327">
        <v>1.1000000000000001</v>
      </c>
      <c r="G147" s="262">
        <f t="shared" si="4"/>
        <v>2.4004249860799999E-2</v>
      </c>
      <c r="I147" s="329">
        <v>350</v>
      </c>
      <c r="J147" s="330">
        <f t="shared" si="6"/>
        <v>0.99093367578977931</v>
      </c>
    </row>
    <row r="148" spans="1:10" s="49" customFormat="1" ht="12.5">
      <c r="A148" s="262">
        <v>2</v>
      </c>
      <c r="B148" s="261">
        <v>2</v>
      </c>
      <c r="C148" s="191">
        <v>4.3</v>
      </c>
      <c r="D148" s="261">
        <f t="shared" si="5"/>
        <v>2.128980032E-2</v>
      </c>
      <c r="E148" s="261">
        <v>1.0249999999999999</v>
      </c>
      <c r="F148" s="327">
        <v>1.08</v>
      </c>
      <c r="G148" s="262">
        <f t="shared" si="4"/>
        <v>2.3567808954239999E-2</v>
      </c>
      <c r="I148" s="329">
        <v>350</v>
      </c>
      <c r="J148" s="330">
        <f t="shared" si="6"/>
        <v>0.98945316247701276</v>
      </c>
    </row>
    <row r="149" spans="1:10" s="49" customFormat="1" ht="12.5">
      <c r="A149" s="262">
        <v>2</v>
      </c>
      <c r="B149" s="261">
        <v>2</v>
      </c>
      <c r="C149" s="191">
        <v>4.4000000000000004</v>
      </c>
      <c r="D149" s="261">
        <f t="shared" si="5"/>
        <v>2.128980032E-2</v>
      </c>
      <c r="E149" s="261">
        <v>1.0249999999999999</v>
      </c>
      <c r="F149" s="327">
        <v>1.06</v>
      </c>
      <c r="G149" s="262">
        <f t="shared" si="4"/>
        <v>2.3131368047679998E-2</v>
      </c>
      <c r="I149" s="329">
        <v>350</v>
      </c>
      <c r="J149" s="330">
        <f t="shared" si="6"/>
        <v>0.98773387683801994</v>
      </c>
    </row>
    <row r="150" spans="1:10" s="49" customFormat="1" ht="12.5">
      <c r="A150" s="262">
        <v>2</v>
      </c>
      <c r="B150" s="261">
        <v>3</v>
      </c>
      <c r="C150" s="56">
        <v>1</v>
      </c>
      <c r="D150" s="261">
        <f t="shared" si="5"/>
        <v>1.9910266970000003E-2</v>
      </c>
      <c r="E150" s="261">
        <v>1</v>
      </c>
      <c r="F150" s="327">
        <v>1</v>
      </c>
      <c r="G150" s="262">
        <f t="shared" si="4"/>
        <v>1.9910266970000003E-2</v>
      </c>
      <c r="I150" s="329">
        <v>350</v>
      </c>
      <c r="J150" s="330">
        <f t="shared" si="6"/>
        <v>0.96307301628328879</v>
      </c>
    </row>
    <row r="151" spans="1:10" s="49" customFormat="1" ht="12.5">
      <c r="A151" s="262">
        <v>2</v>
      </c>
      <c r="B151" s="261">
        <v>3</v>
      </c>
      <c r="C151" s="56">
        <v>2.1</v>
      </c>
      <c r="D151" s="261">
        <f t="shared" si="5"/>
        <v>1.9910266970000003E-2</v>
      </c>
      <c r="E151" s="261">
        <v>1</v>
      </c>
      <c r="F151" s="327">
        <v>1.08</v>
      </c>
      <c r="G151" s="262">
        <f t="shared" si="4"/>
        <v>2.1503088327600006E-2</v>
      </c>
      <c r="I151" s="329">
        <v>350</v>
      </c>
      <c r="J151" s="330">
        <f t="shared" si="6"/>
        <v>0.97851485403102423</v>
      </c>
    </row>
    <row r="152" spans="1:10" s="49" customFormat="1" ht="12.5">
      <c r="A152" s="262">
        <v>2</v>
      </c>
      <c r="B152" s="261">
        <v>3</v>
      </c>
      <c r="C152" s="56">
        <v>2.2000000000000002</v>
      </c>
      <c r="D152" s="261">
        <f t="shared" si="5"/>
        <v>1.9910266970000003E-2</v>
      </c>
      <c r="E152" s="261">
        <v>1</v>
      </c>
      <c r="F152" s="327">
        <v>1.07</v>
      </c>
      <c r="G152" s="262">
        <f t="shared" si="4"/>
        <v>2.1303985657900006E-2</v>
      </c>
      <c r="I152" s="329">
        <v>350</v>
      </c>
      <c r="J152" s="330">
        <f t="shared" si="6"/>
        <v>0.97699990529406211</v>
      </c>
    </row>
    <row r="153" spans="1:10" s="49" customFormat="1" ht="12.5">
      <c r="A153" s="262">
        <v>2</v>
      </c>
      <c r="B153" s="261">
        <v>3</v>
      </c>
      <c r="C153" s="56">
        <v>2.2999999999999998</v>
      </c>
      <c r="D153" s="261">
        <f t="shared" si="5"/>
        <v>1.9910266970000003E-2</v>
      </c>
      <c r="E153" s="261">
        <v>1</v>
      </c>
      <c r="F153" s="327">
        <v>1.06</v>
      </c>
      <c r="G153" s="262">
        <f t="shared" si="4"/>
        <v>2.1104882988200003E-2</v>
      </c>
      <c r="I153" s="329">
        <v>350</v>
      </c>
      <c r="J153" s="330">
        <f t="shared" si="6"/>
        <v>0.97538082292320349</v>
      </c>
    </row>
    <row r="154" spans="1:10" s="49" customFormat="1" ht="12.5">
      <c r="A154" s="262">
        <v>2</v>
      </c>
      <c r="B154" s="261">
        <v>3</v>
      </c>
      <c r="C154" s="56">
        <v>2.4</v>
      </c>
      <c r="D154" s="261">
        <f t="shared" si="5"/>
        <v>1.9910266970000003E-2</v>
      </c>
      <c r="E154" s="261">
        <v>1</v>
      </c>
      <c r="F154" s="327">
        <v>1.05</v>
      </c>
      <c r="G154" s="262">
        <f t="shared" si="4"/>
        <v>2.0905780318500003E-2</v>
      </c>
      <c r="I154" s="329">
        <v>350</v>
      </c>
      <c r="J154" s="330">
        <f t="shared" si="6"/>
        <v>0.97365083973802036</v>
      </c>
    </row>
    <row r="155" spans="1:10" s="49" customFormat="1" ht="12.5">
      <c r="A155" s="262">
        <v>2</v>
      </c>
      <c r="B155" s="261">
        <v>3</v>
      </c>
      <c r="C155" s="56">
        <v>3.1</v>
      </c>
      <c r="D155" s="261">
        <f t="shared" si="5"/>
        <v>1.9910266970000003E-2</v>
      </c>
      <c r="E155" s="261">
        <v>1</v>
      </c>
      <c r="F155" s="327">
        <v>1.02</v>
      </c>
      <c r="G155" s="262">
        <f t="shared" si="4"/>
        <v>2.0308472309400003E-2</v>
      </c>
      <c r="I155" s="329">
        <v>350</v>
      </c>
      <c r="J155" s="330">
        <f t="shared" si="6"/>
        <v>0.96772198679426236</v>
      </c>
    </row>
    <row r="156" spans="1:10" s="49" customFormat="1" ht="12.5">
      <c r="A156" s="262">
        <v>2</v>
      </c>
      <c r="B156" s="261">
        <v>3</v>
      </c>
      <c r="C156" s="56">
        <v>3.2</v>
      </c>
      <c r="D156" s="261">
        <f t="shared" si="5"/>
        <v>1.9910266970000003E-2</v>
      </c>
      <c r="E156" s="261">
        <v>1</v>
      </c>
      <c r="F156" s="327">
        <v>1.0249999999999999</v>
      </c>
      <c r="G156" s="262">
        <f t="shared" si="4"/>
        <v>2.0408023644250001E-2</v>
      </c>
      <c r="I156" s="329">
        <v>350</v>
      </c>
      <c r="J156" s="330">
        <f t="shared" si="6"/>
        <v>0.96879278772061694</v>
      </c>
    </row>
    <row r="157" spans="1:10" s="49" customFormat="1" ht="12.5">
      <c r="A157" s="262">
        <v>2</v>
      </c>
      <c r="B157" s="261">
        <v>3</v>
      </c>
      <c r="C157" s="56">
        <v>3.3</v>
      </c>
      <c r="D157" s="261">
        <f t="shared" si="5"/>
        <v>1.9910266970000003E-2</v>
      </c>
      <c r="E157" s="261">
        <v>1</v>
      </c>
      <c r="F157" s="327">
        <v>1.03</v>
      </c>
      <c r="G157" s="262">
        <f t="shared" si="4"/>
        <v>2.0507574979100003E-2</v>
      </c>
      <c r="I157" s="329">
        <v>350</v>
      </c>
      <c r="J157" s="330">
        <f t="shared" si="6"/>
        <v>0.96982917307049821</v>
      </c>
    </row>
    <row r="158" spans="1:10" s="49" customFormat="1" ht="12.5">
      <c r="A158" s="262">
        <v>2</v>
      </c>
      <c r="B158" s="261">
        <v>3</v>
      </c>
      <c r="C158" s="56">
        <v>3.4</v>
      </c>
      <c r="D158" s="261">
        <f t="shared" si="5"/>
        <v>1.9910266970000003E-2</v>
      </c>
      <c r="E158" s="261">
        <v>1</v>
      </c>
      <c r="F158" s="327">
        <v>1.0349999999999999</v>
      </c>
      <c r="G158" s="262">
        <f t="shared" si="4"/>
        <v>2.0607126313950001E-2</v>
      </c>
      <c r="I158" s="329">
        <v>350</v>
      </c>
      <c r="J158" s="330">
        <f t="shared" si="6"/>
        <v>0.97083217650859643</v>
      </c>
    </row>
    <row r="159" spans="1:10" s="49" customFormat="1" ht="12.5">
      <c r="A159" s="262">
        <v>2</v>
      </c>
      <c r="B159" s="261">
        <v>3</v>
      </c>
      <c r="C159" s="56">
        <v>4.0999999999999996</v>
      </c>
      <c r="D159" s="261">
        <f t="shared" si="5"/>
        <v>1.9910266970000003E-2</v>
      </c>
      <c r="E159" s="261">
        <v>1</v>
      </c>
      <c r="F159" s="327">
        <v>1.1200000000000001</v>
      </c>
      <c r="G159" s="262">
        <f t="shared" si="4"/>
        <v>2.2299499006400006E-2</v>
      </c>
      <c r="I159" s="329">
        <v>350</v>
      </c>
      <c r="J159" s="330">
        <f t="shared" si="6"/>
        <v>0.98365604033028764</v>
      </c>
    </row>
    <row r="160" spans="1:10" s="49" customFormat="1" ht="12.5">
      <c r="A160" s="262">
        <v>2</v>
      </c>
      <c r="B160" s="261">
        <v>3</v>
      </c>
      <c r="C160" s="56">
        <v>4.2</v>
      </c>
      <c r="D160" s="261">
        <f t="shared" si="5"/>
        <v>1.9910266970000003E-2</v>
      </c>
      <c r="E160" s="261">
        <v>1</v>
      </c>
      <c r="F160" s="327">
        <v>1.1000000000000001</v>
      </c>
      <c r="G160" s="262">
        <f t="shared" si="4"/>
        <v>2.1901293667000006E-2</v>
      </c>
      <c r="I160" s="329">
        <v>350</v>
      </c>
      <c r="J160" s="330">
        <f t="shared" si="6"/>
        <v>0.98125758799695584</v>
      </c>
    </row>
    <row r="161" spans="1:10" s="49" customFormat="1" ht="12.5">
      <c r="A161" s="262">
        <v>2</v>
      </c>
      <c r="B161" s="261">
        <v>3</v>
      </c>
      <c r="C161" s="191">
        <v>4.3</v>
      </c>
      <c r="D161" s="261">
        <f t="shared" si="5"/>
        <v>1.9910266970000003E-2</v>
      </c>
      <c r="E161" s="261">
        <v>1</v>
      </c>
      <c r="F161" s="327">
        <v>1.08</v>
      </c>
      <c r="G161" s="262">
        <f t="shared" si="4"/>
        <v>2.1503088327600006E-2</v>
      </c>
      <c r="I161" s="329">
        <v>350</v>
      </c>
      <c r="J161" s="330">
        <f t="shared" si="6"/>
        <v>0.97851485403102423</v>
      </c>
    </row>
    <row r="162" spans="1:10" s="49" customFormat="1" ht="12.5">
      <c r="A162" s="262">
        <v>2</v>
      </c>
      <c r="B162" s="261">
        <v>3</v>
      </c>
      <c r="C162" s="191">
        <v>4.4000000000000004</v>
      </c>
      <c r="D162" s="261">
        <f t="shared" si="5"/>
        <v>1.9910266970000003E-2</v>
      </c>
      <c r="E162" s="261">
        <v>1</v>
      </c>
      <c r="F162" s="327">
        <v>1.06</v>
      </c>
      <c r="G162" s="262">
        <f t="shared" si="4"/>
        <v>2.1104882988200003E-2</v>
      </c>
      <c r="I162" s="329">
        <v>350</v>
      </c>
      <c r="J162" s="330">
        <f t="shared" si="6"/>
        <v>0.97538082292320349</v>
      </c>
    </row>
    <row r="163" spans="1:10" s="49" customFormat="1" ht="12.5">
      <c r="A163" s="262">
        <v>2</v>
      </c>
      <c r="B163" s="261">
        <v>4</v>
      </c>
      <c r="C163" s="56">
        <v>1</v>
      </c>
      <c r="D163" s="261">
        <f t="shared" si="5"/>
        <v>1.6953400280000003E-2</v>
      </c>
      <c r="E163" s="261">
        <v>0.98</v>
      </c>
      <c r="F163" s="327">
        <v>1</v>
      </c>
      <c r="G163" s="262">
        <f t="shared" si="4"/>
        <v>1.6614332274400002E-2</v>
      </c>
      <c r="I163" s="329">
        <v>350</v>
      </c>
      <c r="J163" s="330">
        <f t="shared" si="6"/>
        <v>0.89164058848562688</v>
      </c>
    </row>
    <row r="164" spans="1:10" s="49" customFormat="1" ht="12.5">
      <c r="A164" s="262">
        <v>2</v>
      </c>
      <c r="B164" s="261">
        <v>4</v>
      </c>
      <c r="C164" s="56">
        <v>2.1</v>
      </c>
      <c r="D164" s="261">
        <f t="shared" si="5"/>
        <v>1.6953400280000003E-2</v>
      </c>
      <c r="E164" s="261">
        <v>0.98</v>
      </c>
      <c r="F164" s="327">
        <v>1.08</v>
      </c>
      <c r="G164" s="262">
        <f t="shared" si="4"/>
        <v>1.7943478856352002E-2</v>
      </c>
      <c r="I164" s="329">
        <v>350</v>
      </c>
      <c r="J164" s="330">
        <f t="shared" si="6"/>
        <v>0.92909109994272165</v>
      </c>
    </row>
    <row r="165" spans="1:10" s="49" customFormat="1" ht="12.5">
      <c r="A165" s="262">
        <v>2</v>
      </c>
      <c r="B165" s="261">
        <v>4</v>
      </c>
      <c r="C165" s="56">
        <v>2.2000000000000002</v>
      </c>
      <c r="D165" s="261">
        <f t="shared" si="5"/>
        <v>1.6953400280000003E-2</v>
      </c>
      <c r="E165" s="261">
        <v>0.98</v>
      </c>
      <c r="F165" s="327">
        <v>1.07</v>
      </c>
      <c r="G165" s="262">
        <f t="shared" si="4"/>
        <v>1.7777335533608003E-2</v>
      </c>
      <c r="I165" s="329">
        <v>350</v>
      </c>
      <c r="J165" s="330">
        <f t="shared" si="6"/>
        <v>0.92516321843489491</v>
      </c>
    </row>
    <row r="166" spans="1:10" s="49" customFormat="1" ht="12.5">
      <c r="A166" s="262">
        <v>2</v>
      </c>
      <c r="B166" s="261">
        <v>4</v>
      </c>
      <c r="C166" s="56">
        <v>2.2999999999999998</v>
      </c>
      <c r="D166" s="261">
        <f t="shared" si="5"/>
        <v>1.6953400280000003E-2</v>
      </c>
      <c r="E166" s="261">
        <v>0.98</v>
      </c>
      <c r="F166" s="327">
        <v>1.06</v>
      </c>
      <c r="G166" s="262">
        <f t="shared" si="4"/>
        <v>1.7611192210864001E-2</v>
      </c>
      <c r="I166" s="329">
        <v>350</v>
      </c>
      <c r="J166" s="330">
        <f t="shared" si="6"/>
        <v>0.92103625048005033</v>
      </c>
    </row>
    <row r="167" spans="1:10" s="49" customFormat="1" ht="12.5">
      <c r="A167" s="262">
        <v>2</v>
      </c>
      <c r="B167" s="261">
        <v>4</v>
      </c>
      <c r="C167" s="56">
        <v>2.4</v>
      </c>
      <c r="D167" s="261">
        <f t="shared" si="5"/>
        <v>1.6953400280000003E-2</v>
      </c>
      <c r="E167" s="261">
        <v>0.98</v>
      </c>
      <c r="F167" s="327">
        <v>1.05</v>
      </c>
      <c r="G167" s="262">
        <f t="shared" si="4"/>
        <v>1.7445048888120002E-2</v>
      </c>
      <c r="I167" s="329">
        <v>350</v>
      </c>
      <c r="J167" s="330">
        <f t="shared" si="6"/>
        <v>0.91670218667503089</v>
      </c>
    </row>
    <row r="168" spans="1:10" s="49" customFormat="1" ht="12.5">
      <c r="A168" s="262">
        <v>2</v>
      </c>
      <c r="B168" s="261">
        <v>4</v>
      </c>
      <c r="C168" s="56">
        <v>3.1</v>
      </c>
      <c r="D168" s="261">
        <f t="shared" si="5"/>
        <v>1.6953400280000003E-2</v>
      </c>
      <c r="E168" s="261">
        <v>0.98</v>
      </c>
      <c r="F168" s="327">
        <v>1.02</v>
      </c>
      <c r="G168" s="262">
        <f t="shared" si="4"/>
        <v>1.6946618919888003E-2</v>
      </c>
      <c r="I168" s="329">
        <v>350</v>
      </c>
      <c r="J168" s="330">
        <f t="shared" si="6"/>
        <v>0.90237617120238478</v>
      </c>
    </row>
    <row r="169" spans="1:10" s="49" customFormat="1" ht="12.5">
      <c r="A169" s="262">
        <v>2</v>
      </c>
      <c r="B169" s="261">
        <v>4</v>
      </c>
      <c r="C169" s="56">
        <v>3.2</v>
      </c>
      <c r="D169" s="261">
        <f t="shared" si="5"/>
        <v>1.6953400280000003E-2</v>
      </c>
      <c r="E169" s="261">
        <v>0.98</v>
      </c>
      <c r="F169" s="327">
        <v>1.0249999999999999</v>
      </c>
      <c r="G169" s="262">
        <f t="shared" si="4"/>
        <v>1.7029690581259999E-2</v>
      </c>
      <c r="I169" s="329">
        <v>350</v>
      </c>
      <c r="J169" s="330">
        <f t="shared" si="6"/>
        <v>0.90490769948674166</v>
      </c>
    </row>
    <row r="170" spans="1:10" s="49" customFormat="1" ht="12.5">
      <c r="A170" s="262">
        <v>2</v>
      </c>
      <c r="B170" s="261">
        <v>4</v>
      </c>
      <c r="C170" s="56">
        <v>3.3</v>
      </c>
      <c r="D170" s="261">
        <f t="shared" si="5"/>
        <v>1.6953400280000003E-2</v>
      </c>
      <c r="E170" s="261">
        <v>0.98</v>
      </c>
      <c r="F170" s="327">
        <v>1.03</v>
      </c>
      <c r="G170" s="262">
        <f t="shared" si="4"/>
        <v>1.7112762242632001E-2</v>
      </c>
      <c r="I170" s="329">
        <v>350</v>
      </c>
      <c r="J170" s="330">
        <f t="shared" si="6"/>
        <v>0.90738031946283637</v>
      </c>
    </row>
    <row r="171" spans="1:10" s="49" customFormat="1" ht="12.5">
      <c r="A171" s="262">
        <v>2</v>
      </c>
      <c r="B171" s="261">
        <v>4</v>
      </c>
      <c r="C171" s="56">
        <v>3.4</v>
      </c>
      <c r="D171" s="261">
        <f t="shared" si="5"/>
        <v>1.6953400280000003E-2</v>
      </c>
      <c r="E171" s="261">
        <v>0.98</v>
      </c>
      <c r="F171" s="327">
        <v>1.0349999999999999</v>
      </c>
      <c r="G171" s="262">
        <f t="shared" si="4"/>
        <v>1.7195833904004001E-2</v>
      </c>
      <c r="I171" s="329">
        <v>350</v>
      </c>
      <c r="J171" s="330">
        <f t="shared" si="6"/>
        <v>0.90979505467133603</v>
      </c>
    </row>
    <row r="172" spans="1:10" s="49" customFormat="1" ht="12.5">
      <c r="A172" s="262">
        <v>2</v>
      </c>
      <c r="B172" s="261">
        <v>4</v>
      </c>
      <c r="C172" s="56">
        <v>4.0999999999999996</v>
      </c>
      <c r="D172" s="261">
        <f t="shared" si="5"/>
        <v>1.6953400280000003E-2</v>
      </c>
      <c r="E172" s="261">
        <v>0.98</v>
      </c>
      <c r="F172" s="327">
        <v>1.1200000000000001</v>
      </c>
      <c r="G172" s="262">
        <f t="shared" si="4"/>
        <v>1.8608052147328004E-2</v>
      </c>
      <c r="I172" s="329">
        <v>350</v>
      </c>
      <c r="J172" s="330">
        <f t="shared" si="6"/>
        <v>0.94296755141654875</v>
      </c>
    </row>
    <row r="173" spans="1:10" s="49" customFormat="1" ht="12.5">
      <c r="A173" s="262">
        <v>2</v>
      </c>
      <c r="B173" s="261">
        <v>4</v>
      </c>
      <c r="C173" s="56">
        <v>4.2</v>
      </c>
      <c r="D173" s="261">
        <f t="shared" si="5"/>
        <v>1.6953400280000003E-2</v>
      </c>
      <c r="E173" s="261">
        <v>0.98</v>
      </c>
      <c r="F173" s="327">
        <v>1.1000000000000001</v>
      </c>
      <c r="G173" s="262">
        <f t="shared" si="4"/>
        <v>1.8275765501840003E-2</v>
      </c>
      <c r="I173" s="329">
        <v>350</v>
      </c>
      <c r="J173" s="330">
        <f t="shared" si="6"/>
        <v>0.93638105300974817</v>
      </c>
    </row>
    <row r="174" spans="1:10" s="49" customFormat="1" ht="12.5">
      <c r="A174" s="262">
        <v>2</v>
      </c>
      <c r="B174" s="261">
        <v>4</v>
      </c>
      <c r="C174" s="191">
        <v>4.3</v>
      </c>
      <c r="D174" s="261">
        <f t="shared" si="5"/>
        <v>1.6953400280000003E-2</v>
      </c>
      <c r="E174" s="261">
        <v>0.98</v>
      </c>
      <c r="F174" s="327">
        <v>1.08</v>
      </c>
      <c r="G174" s="262">
        <f t="shared" si="4"/>
        <v>1.7943478856352002E-2</v>
      </c>
      <c r="I174" s="329">
        <v>350</v>
      </c>
      <c r="J174" s="330">
        <f t="shared" si="6"/>
        <v>0.92909109994272165</v>
      </c>
    </row>
    <row r="175" spans="1:10" s="49" customFormat="1" ht="12.5">
      <c r="A175" s="262">
        <v>2</v>
      </c>
      <c r="B175" s="261">
        <v>4</v>
      </c>
      <c r="C175" s="191">
        <v>4.4000000000000004</v>
      </c>
      <c r="D175" s="261">
        <f t="shared" si="5"/>
        <v>1.6953400280000003E-2</v>
      </c>
      <c r="E175" s="261">
        <v>0.98</v>
      </c>
      <c r="F175" s="327">
        <v>1.06</v>
      </c>
      <c r="G175" s="262">
        <f t="shared" si="4"/>
        <v>1.7611192210864001E-2</v>
      </c>
      <c r="I175" s="329">
        <v>350</v>
      </c>
      <c r="J175" s="330">
        <f t="shared" si="6"/>
        <v>0.92103625048005033</v>
      </c>
    </row>
    <row r="176" spans="1:10" s="49" customFormat="1" ht="12.5">
      <c r="A176" s="262">
        <v>2</v>
      </c>
      <c r="B176" s="261">
        <v>5</v>
      </c>
      <c r="C176" s="56">
        <v>1</v>
      </c>
      <c r="D176" s="261">
        <f t="shared" si="5"/>
        <v>1.2419200249999998E-2</v>
      </c>
      <c r="E176" s="261">
        <v>0.95</v>
      </c>
      <c r="F176" s="327">
        <v>1</v>
      </c>
      <c r="G176" s="262">
        <f t="shared" si="4"/>
        <v>1.1798240237499997E-2</v>
      </c>
      <c r="I176" s="329">
        <v>350</v>
      </c>
      <c r="J176" s="330">
        <f t="shared" si="6"/>
        <v>0.60395630927460009</v>
      </c>
    </row>
    <row r="177" spans="1:10" s="49" customFormat="1" ht="12.5">
      <c r="A177" s="262">
        <v>2</v>
      </c>
      <c r="B177" s="261">
        <v>5</v>
      </c>
      <c r="C177" s="56">
        <v>2.1</v>
      </c>
      <c r="D177" s="261">
        <f t="shared" si="5"/>
        <v>1.2419200249999998E-2</v>
      </c>
      <c r="E177" s="261">
        <v>0.95</v>
      </c>
      <c r="F177" s="327">
        <v>1.08</v>
      </c>
      <c r="G177" s="262">
        <f t="shared" si="4"/>
        <v>1.2742099456499997E-2</v>
      </c>
      <c r="I177" s="329">
        <v>350</v>
      </c>
      <c r="J177" s="330">
        <f t="shared" si="6"/>
        <v>0.67968575810166165</v>
      </c>
    </row>
    <row r="178" spans="1:10" s="49" customFormat="1" ht="12.5">
      <c r="A178" s="262">
        <v>2</v>
      </c>
      <c r="B178" s="261">
        <v>5</v>
      </c>
      <c r="C178" s="56">
        <v>2.2000000000000002</v>
      </c>
      <c r="D178" s="261">
        <f t="shared" si="5"/>
        <v>1.2419200249999998E-2</v>
      </c>
      <c r="E178" s="261">
        <v>0.95</v>
      </c>
      <c r="F178" s="327">
        <v>1.07</v>
      </c>
      <c r="G178" s="262">
        <f t="shared" si="4"/>
        <v>1.2624117054124997E-2</v>
      </c>
      <c r="I178" s="329">
        <v>350</v>
      </c>
      <c r="J178" s="330">
        <f t="shared" si="6"/>
        <v>0.67062964217480692</v>
      </c>
    </row>
    <row r="179" spans="1:10" s="49" customFormat="1" ht="12.5">
      <c r="A179" s="262">
        <v>2</v>
      </c>
      <c r="B179" s="261">
        <v>5</v>
      </c>
      <c r="C179" s="56">
        <v>2.2999999999999998</v>
      </c>
      <c r="D179" s="261">
        <f t="shared" si="5"/>
        <v>1.2419200249999998E-2</v>
      </c>
      <c r="E179" s="261">
        <v>0.95</v>
      </c>
      <c r="F179" s="327">
        <v>1.06</v>
      </c>
      <c r="G179" s="262">
        <f t="shared" si="4"/>
        <v>1.2506134651749998E-2</v>
      </c>
      <c r="I179" s="329">
        <v>350</v>
      </c>
      <c r="J179" s="330">
        <f t="shared" si="6"/>
        <v>0.66144502112720349</v>
      </c>
    </row>
    <row r="180" spans="1:10" s="49" customFormat="1" ht="12.5">
      <c r="A180" s="262">
        <v>2</v>
      </c>
      <c r="B180" s="261">
        <v>5</v>
      </c>
      <c r="C180" s="56">
        <v>2.4</v>
      </c>
      <c r="D180" s="261">
        <f t="shared" si="5"/>
        <v>1.2419200249999998E-2</v>
      </c>
      <c r="E180" s="261">
        <v>0.95</v>
      </c>
      <c r="F180" s="327">
        <v>1.05</v>
      </c>
      <c r="G180" s="262">
        <f t="shared" si="4"/>
        <v>1.2388152249374998E-2</v>
      </c>
      <c r="I180" s="329">
        <v>350</v>
      </c>
      <c r="J180" s="330">
        <f t="shared" si="6"/>
        <v>0.65213713386719185</v>
      </c>
    </row>
    <row r="181" spans="1:10" s="49" customFormat="1" ht="12.5">
      <c r="A181" s="262">
        <v>2</v>
      </c>
      <c r="B181" s="261">
        <v>5</v>
      </c>
      <c r="C181" s="56">
        <v>3.1</v>
      </c>
      <c r="D181" s="261">
        <f t="shared" si="5"/>
        <v>1.2419200249999998E-2</v>
      </c>
      <c r="E181" s="261">
        <v>0.95</v>
      </c>
      <c r="F181" s="327">
        <v>1.02</v>
      </c>
      <c r="G181" s="262">
        <f t="shared" si="4"/>
        <v>1.2034205042249998E-2</v>
      </c>
      <c r="I181" s="329">
        <v>350</v>
      </c>
      <c r="J181" s="330">
        <f t="shared" si="6"/>
        <v>0.62353152332514894</v>
      </c>
    </row>
    <row r="182" spans="1:10" s="49" customFormat="1" ht="12.5">
      <c r="A182" s="262">
        <v>2</v>
      </c>
      <c r="B182" s="261">
        <v>5</v>
      </c>
      <c r="C182" s="56">
        <v>3.2</v>
      </c>
      <c r="D182" s="261">
        <f t="shared" si="5"/>
        <v>1.2419200249999998E-2</v>
      </c>
      <c r="E182" s="261">
        <v>0.95</v>
      </c>
      <c r="F182" s="327">
        <v>1.0249999999999999</v>
      </c>
      <c r="G182" s="262">
        <f t="shared" si="4"/>
        <v>1.2093196243437496E-2</v>
      </c>
      <c r="I182" s="329">
        <v>350</v>
      </c>
      <c r="J182" s="330">
        <f t="shared" si="6"/>
        <v>0.62836567918939301</v>
      </c>
    </row>
    <row r="183" spans="1:10" s="49" customFormat="1" ht="12.5">
      <c r="A183" s="262">
        <v>2</v>
      </c>
      <c r="B183" s="261">
        <v>5</v>
      </c>
      <c r="C183" s="56">
        <v>3.3</v>
      </c>
      <c r="D183" s="261">
        <f t="shared" si="5"/>
        <v>1.2419200249999998E-2</v>
      </c>
      <c r="E183" s="261">
        <v>0.95</v>
      </c>
      <c r="F183" s="327">
        <v>1.03</v>
      </c>
      <c r="G183" s="262">
        <f t="shared" si="4"/>
        <v>1.2152187444624997E-2</v>
      </c>
      <c r="I183" s="329">
        <v>350</v>
      </c>
      <c r="J183" s="330">
        <f t="shared" si="6"/>
        <v>0.63317427922589675</v>
      </c>
    </row>
    <row r="184" spans="1:10" s="49" customFormat="1" ht="12.5">
      <c r="A184" s="262">
        <v>2</v>
      </c>
      <c r="B184" s="261">
        <v>5</v>
      </c>
      <c r="C184" s="56">
        <v>3.4</v>
      </c>
      <c r="D184" s="261">
        <f t="shared" si="5"/>
        <v>1.2419200249999998E-2</v>
      </c>
      <c r="E184" s="261">
        <v>0.95</v>
      </c>
      <c r="F184" s="327">
        <v>1.0349999999999999</v>
      </c>
      <c r="G184" s="262">
        <f t="shared" si="4"/>
        <v>1.2211178645812495E-2</v>
      </c>
      <c r="I184" s="329">
        <v>350</v>
      </c>
      <c r="J184" s="330">
        <f t="shared" si="6"/>
        <v>0.63795650888227506</v>
      </c>
    </row>
    <row r="185" spans="1:10" s="49" customFormat="1" ht="12.5">
      <c r="A185" s="262">
        <v>2</v>
      </c>
      <c r="B185" s="261">
        <v>5</v>
      </c>
      <c r="C185" s="56">
        <v>4.0999999999999996</v>
      </c>
      <c r="D185" s="261">
        <f t="shared" si="5"/>
        <v>1.2419200249999998E-2</v>
      </c>
      <c r="E185" s="261">
        <v>0.95</v>
      </c>
      <c r="F185" s="327">
        <v>1.1200000000000001</v>
      </c>
      <c r="G185" s="262">
        <f t="shared" si="4"/>
        <v>1.3214029065999998E-2</v>
      </c>
      <c r="I185" s="329">
        <v>350</v>
      </c>
      <c r="J185" s="330">
        <f t="shared" si="6"/>
        <v>0.71453313618429237</v>
      </c>
    </row>
    <row r="186" spans="1:10" s="49" customFormat="1" ht="12.5">
      <c r="A186" s="262">
        <v>2</v>
      </c>
      <c r="B186" s="261">
        <v>5</v>
      </c>
      <c r="C186" s="56">
        <v>4.2</v>
      </c>
      <c r="D186" s="261">
        <f t="shared" si="5"/>
        <v>1.2419200249999998E-2</v>
      </c>
      <c r="E186" s="261">
        <v>0.95</v>
      </c>
      <c r="F186" s="327">
        <v>1.1000000000000001</v>
      </c>
      <c r="G186" s="262">
        <f t="shared" si="4"/>
        <v>1.2978064261249998E-2</v>
      </c>
      <c r="I186" s="329">
        <v>350</v>
      </c>
      <c r="J186" s="330">
        <f t="shared" si="6"/>
        <v>0.69739333127053493</v>
      </c>
    </row>
    <row r="187" spans="1:10" s="49" customFormat="1" ht="12.5">
      <c r="A187" s="262">
        <v>2</v>
      </c>
      <c r="B187" s="261">
        <v>5</v>
      </c>
      <c r="C187" s="191">
        <v>4.3</v>
      </c>
      <c r="D187" s="261">
        <f t="shared" si="5"/>
        <v>1.2419200249999998E-2</v>
      </c>
      <c r="E187" s="261">
        <v>0.95</v>
      </c>
      <c r="F187" s="327">
        <v>1.08</v>
      </c>
      <c r="G187" s="262">
        <f t="shared" ref="G187:G250" si="7">D187*E187*F187</f>
        <v>1.2742099456499997E-2</v>
      </c>
      <c r="I187" s="329">
        <v>350</v>
      </c>
      <c r="J187" s="330">
        <f t="shared" si="6"/>
        <v>0.67968575810166165</v>
      </c>
    </row>
    <row r="188" spans="1:10" s="49" customFormat="1" ht="12.5">
      <c r="A188" s="262">
        <v>2</v>
      </c>
      <c r="B188" s="261">
        <v>5</v>
      </c>
      <c r="C188" s="191">
        <v>4.4000000000000004</v>
      </c>
      <c r="D188" s="261">
        <f t="shared" ref="D188:D251" si="8">0.019316867+0.0025638*B188-0.00078866667*B188*B188</f>
        <v>1.2419200249999998E-2</v>
      </c>
      <c r="E188" s="261">
        <v>0.95</v>
      </c>
      <c r="F188" s="327">
        <v>1.06</v>
      </c>
      <c r="G188" s="262">
        <f t="shared" si="7"/>
        <v>1.2506134651749998E-2</v>
      </c>
      <c r="I188" s="329">
        <v>350</v>
      </c>
      <c r="J188" s="330">
        <f t="shared" ref="J188:J251" si="9">$B$8/(1+$D$8*EXP(-G188*I188))</f>
        <v>0.66144502112720349</v>
      </c>
    </row>
    <row r="189" spans="1:10" s="49" customFormat="1" ht="12.5">
      <c r="A189" s="262">
        <v>3</v>
      </c>
      <c r="B189" s="261">
        <v>1</v>
      </c>
      <c r="C189" s="56">
        <v>1</v>
      </c>
      <c r="D189" s="261">
        <f t="shared" si="8"/>
        <v>2.1092000330000003E-2</v>
      </c>
      <c r="E189" s="261">
        <v>1.1000000000000001</v>
      </c>
      <c r="F189" s="327">
        <v>1</v>
      </c>
      <c r="G189" s="262">
        <f t="shared" si="7"/>
        <v>2.3201200363000003E-2</v>
      </c>
      <c r="I189" s="329">
        <v>350</v>
      </c>
      <c r="J189" s="330">
        <f t="shared" si="9"/>
        <v>0.98802649672970655</v>
      </c>
    </row>
    <row r="190" spans="1:10" s="49" customFormat="1" ht="12.5">
      <c r="A190" s="262">
        <v>3</v>
      </c>
      <c r="B190" s="261">
        <v>1</v>
      </c>
      <c r="C190" s="56">
        <v>2.1</v>
      </c>
      <c r="D190" s="261">
        <f t="shared" si="8"/>
        <v>2.1092000330000003E-2</v>
      </c>
      <c r="E190" s="261">
        <v>1.1000000000000001</v>
      </c>
      <c r="F190" s="327">
        <v>1.08</v>
      </c>
      <c r="G190" s="262">
        <f t="shared" si="7"/>
        <v>2.5057296392040004E-2</v>
      </c>
      <c r="I190" s="329">
        <v>350</v>
      </c>
      <c r="J190" s="330">
        <f t="shared" si="9"/>
        <v>0.99371101646185178</v>
      </c>
    </row>
    <row r="191" spans="1:10" s="49" customFormat="1" ht="12.5">
      <c r="A191" s="262">
        <v>3</v>
      </c>
      <c r="B191" s="261">
        <v>1</v>
      </c>
      <c r="C191" s="56">
        <v>2.2000000000000002</v>
      </c>
      <c r="D191" s="261">
        <f t="shared" si="8"/>
        <v>2.1092000330000003E-2</v>
      </c>
      <c r="E191" s="261">
        <v>1.1000000000000001</v>
      </c>
      <c r="F191" s="327">
        <v>1.07</v>
      </c>
      <c r="G191" s="262">
        <f t="shared" si="7"/>
        <v>2.4825284388410005E-2</v>
      </c>
      <c r="I191" s="329">
        <v>350</v>
      </c>
      <c r="J191" s="330">
        <f t="shared" si="9"/>
        <v>0.99318264340392903</v>
      </c>
    </row>
    <row r="192" spans="1:10" s="49" customFormat="1" ht="12.5">
      <c r="A192" s="262">
        <v>3</v>
      </c>
      <c r="B192" s="261">
        <v>1</v>
      </c>
      <c r="C192" s="56">
        <v>2.2999999999999998</v>
      </c>
      <c r="D192" s="261">
        <f t="shared" si="8"/>
        <v>2.1092000330000003E-2</v>
      </c>
      <c r="E192" s="261">
        <v>1.1000000000000001</v>
      </c>
      <c r="F192" s="327">
        <v>1.06</v>
      </c>
      <c r="G192" s="262">
        <f t="shared" si="7"/>
        <v>2.4593272384780006E-2</v>
      </c>
      <c r="I192" s="329">
        <v>350</v>
      </c>
      <c r="J192" s="330">
        <f t="shared" si="9"/>
        <v>0.99261020885941154</v>
      </c>
    </row>
    <row r="193" spans="1:10" s="49" customFormat="1" ht="12.5">
      <c r="A193" s="262">
        <v>3</v>
      </c>
      <c r="B193" s="261">
        <v>1</v>
      </c>
      <c r="C193" s="56">
        <v>2.4</v>
      </c>
      <c r="D193" s="261">
        <f t="shared" si="8"/>
        <v>2.1092000330000003E-2</v>
      </c>
      <c r="E193" s="261">
        <v>1.1000000000000001</v>
      </c>
      <c r="F193" s="327">
        <v>1.05</v>
      </c>
      <c r="G193" s="262">
        <f t="shared" si="7"/>
        <v>2.4361260381150003E-2</v>
      </c>
      <c r="I193" s="329">
        <v>350</v>
      </c>
      <c r="J193" s="330">
        <f t="shared" si="9"/>
        <v>0.99199009621692147</v>
      </c>
    </row>
    <row r="194" spans="1:10" s="49" customFormat="1" ht="12.5">
      <c r="A194" s="262">
        <v>3</v>
      </c>
      <c r="B194" s="261">
        <v>1</v>
      </c>
      <c r="C194" s="56">
        <v>3.1</v>
      </c>
      <c r="D194" s="261">
        <f t="shared" si="8"/>
        <v>2.1092000330000003E-2</v>
      </c>
      <c r="E194" s="261">
        <v>1.1000000000000001</v>
      </c>
      <c r="F194" s="327">
        <v>1.02</v>
      </c>
      <c r="G194" s="262">
        <f t="shared" si="7"/>
        <v>2.3665224370260005E-2</v>
      </c>
      <c r="I194" s="329">
        <v>350</v>
      </c>
      <c r="J194" s="330">
        <f t="shared" si="9"/>
        <v>0.98980309484183404</v>
      </c>
    </row>
    <row r="195" spans="1:10" s="49" customFormat="1" ht="12.5">
      <c r="A195" s="262">
        <v>3</v>
      </c>
      <c r="B195" s="261">
        <v>1</v>
      </c>
      <c r="C195" s="56">
        <v>3.2</v>
      </c>
      <c r="D195" s="261">
        <f t="shared" si="8"/>
        <v>2.1092000330000003E-2</v>
      </c>
      <c r="E195" s="261">
        <v>1.1000000000000001</v>
      </c>
      <c r="F195" s="327">
        <v>1.0249999999999999</v>
      </c>
      <c r="G195" s="262">
        <f t="shared" si="7"/>
        <v>2.3781230372075E-2</v>
      </c>
      <c r="I195" s="329">
        <v>350</v>
      </c>
      <c r="J195" s="330">
        <f t="shared" si="9"/>
        <v>0.99020484413971555</v>
      </c>
    </row>
    <row r="196" spans="1:10" s="49" customFormat="1" ht="12.5">
      <c r="A196" s="262">
        <v>3</v>
      </c>
      <c r="B196" s="261">
        <v>1</v>
      </c>
      <c r="C196" s="56">
        <v>3.3</v>
      </c>
      <c r="D196" s="261">
        <f t="shared" si="8"/>
        <v>2.1092000330000003E-2</v>
      </c>
      <c r="E196" s="261">
        <v>1.1000000000000001</v>
      </c>
      <c r="F196" s="327">
        <v>1.03</v>
      </c>
      <c r="G196" s="262">
        <f t="shared" si="7"/>
        <v>2.3897236373890005E-2</v>
      </c>
      <c r="I196" s="329">
        <v>350</v>
      </c>
      <c r="J196" s="330">
        <f t="shared" si="9"/>
        <v>0.9905909153273238</v>
      </c>
    </row>
    <row r="197" spans="1:10" s="49" customFormat="1" ht="12.5">
      <c r="A197" s="262">
        <v>3</v>
      </c>
      <c r="B197" s="261">
        <v>1</v>
      </c>
      <c r="C197" s="56">
        <v>3.4</v>
      </c>
      <c r="D197" s="261">
        <f t="shared" si="8"/>
        <v>2.1092000330000003E-2</v>
      </c>
      <c r="E197" s="261">
        <v>1.1000000000000001</v>
      </c>
      <c r="F197" s="327">
        <v>1.0349999999999999</v>
      </c>
      <c r="G197" s="262">
        <f t="shared" si="7"/>
        <v>2.4013242375705002E-2</v>
      </c>
      <c r="I197" s="329">
        <v>350</v>
      </c>
      <c r="J197" s="330">
        <f t="shared" si="9"/>
        <v>0.9909619086027629</v>
      </c>
    </row>
    <row r="198" spans="1:10" s="49" customFormat="1" ht="12.5">
      <c r="A198" s="262">
        <v>3</v>
      </c>
      <c r="B198" s="261">
        <v>1</v>
      </c>
      <c r="C198" s="56">
        <v>4.0999999999999996</v>
      </c>
      <c r="D198" s="261">
        <f t="shared" si="8"/>
        <v>2.1092000330000003E-2</v>
      </c>
      <c r="E198" s="261">
        <v>1.1000000000000001</v>
      </c>
      <c r="F198" s="327">
        <v>1.1200000000000001</v>
      </c>
      <c r="G198" s="262">
        <f t="shared" si="7"/>
        <v>2.5985344406560005E-2</v>
      </c>
      <c r="I198" s="329">
        <v>350</v>
      </c>
      <c r="J198" s="330">
        <f t="shared" si="9"/>
        <v>0.99544726403071071</v>
      </c>
    </row>
    <row r="199" spans="1:10" s="49" customFormat="1" ht="12.5">
      <c r="A199" s="262">
        <v>3</v>
      </c>
      <c r="B199" s="261">
        <v>1</v>
      </c>
      <c r="C199" s="56">
        <v>4.2</v>
      </c>
      <c r="D199" s="261">
        <f t="shared" si="8"/>
        <v>2.1092000330000003E-2</v>
      </c>
      <c r="E199" s="261">
        <v>1.1000000000000001</v>
      </c>
      <c r="F199" s="327">
        <v>1.1000000000000001</v>
      </c>
      <c r="G199" s="262">
        <f t="shared" si="7"/>
        <v>2.5521320399300006E-2</v>
      </c>
      <c r="I199" s="329">
        <v>350</v>
      </c>
      <c r="J199" s="330">
        <f t="shared" si="9"/>
        <v>0.99464872817588312</v>
      </c>
    </row>
    <row r="200" spans="1:10" s="49" customFormat="1" ht="12.5">
      <c r="A200" s="262">
        <v>3</v>
      </c>
      <c r="B200" s="261">
        <v>1</v>
      </c>
      <c r="C200" s="191">
        <v>4.3</v>
      </c>
      <c r="D200" s="261">
        <f t="shared" si="8"/>
        <v>2.1092000330000003E-2</v>
      </c>
      <c r="E200" s="261">
        <v>1.1000000000000001</v>
      </c>
      <c r="F200" s="327">
        <v>1.08</v>
      </c>
      <c r="G200" s="262">
        <f t="shared" si="7"/>
        <v>2.5057296392040004E-2</v>
      </c>
      <c r="I200" s="329">
        <v>350</v>
      </c>
      <c r="J200" s="330">
        <f t="shared" si="9"/>
        <v>0.99371101646185178</v>
      </c>
    </row>
    <row r="201" spans="1:10" s="49" customFormat="1" ht="12.5">
      <c r="A201" s="262">
        <v>3</v>
      </c>
      <c r="B201" s="261">
        <v>1</v>
      </c>
      <c r="C201" s="191">
        <v>4.4000000000000004</v>
      </c>
      <c r="D201" s="261">
        <f t="shared" si="8"/>
        <v>2.1092000330000003E-2</v>
      </c>
      <c r="E201" s="261">
        <v>1.1000000000000001</v>
      </c>
      <c r="F201" s="327">
        <v>1.06</v>
      </c>
      <c r="G201" s="262">
        <f t="shared" si="7"/>
        <v>2.4593272384780006E-2</v>
      </c>
      <c r="I201" s="329">
        <v>350</v>
      </c>
      <c r="J201" s="330">
        <f t="shared" si="9"/>
        <v>0.99261020885941154</v>
      </c>
    </row>
    <row r="202" spans="1:10" s="49" customFormat="1" ht="12.5">
      <c r="A202" s="262">
        <v>3</v>
      </c>
      <c r="B202" s="261">
        <v>2</v>
      </c>
      <c r="C202" s="56">
        <v>1</v>
      </c>
      <c r="D202" s="261">
        <f t="shared" si="8"/>
        <v>2.128980032E-2</v>
      </c>
      <c r="E202" s="261">
        <v>1.0249999999999999</v>
      </c>
      <c r="F202" s="327">
        <v>1</v>
      </c>
      <c r="G202" s="262">
        <f t="shared" si="7"/>
        <v>2.1822045327999997E-2</v>
      </c>
      <c r="I202" s="329">
        <v>350</v>
      </c>
      <c r="J202" s="330">
        <f t="shared" si="9"/>
        <v>0.98074060677655772</v>
      </c>
    </row>
    <row r="203" spans="1:10" s="49" customFormat="1" ht="12.5">
      <c r="A203" s="262">
        <v>3</v>
      </c>
      <c r="B203" s="261">
        <v>2</v>
      </c>
      <c r="C203" s="56">
        <v>2.1</v>
      </c>
      <c r="D203" s="261">
        <f t="shared" si="8"/>
        <v>2.128980032E-2</v>
      </c>
      <c r="E203" s="261">
        <v>1.0249999999999999</v>
      </c>
      <c r="F203" s="327">
        <v>1.08</v>
      </c>
      <c r="G203" s="262">
        <f t="shared" si="7"/>
        <v>2.3567808954239999E-2</v>
      </c>
      <c r="I203" s="329">
        <v>350</v>
      </c>
      <c r="J203" s="330">
        <f t="shared" si="9"/>
        <v>0.98945316247701276</v>
      </c>
    </row>
    <row r="204" spans="1:10" s="49" customFormat="1" ht="12.5">
      <c r="A204" s="262">
        <v>3</v>
      </c>
      <c r="B204" s="261">
        <v>2</v>
      </c>
      <c r="C204" s="56">
        <v>2.2000000000000002</v>
      </c>
      <c r="D204" s="261">
        <f t="shared" si="8"/>
        <v>2.128980032E-2</v>
      </c>
      <c r="E204" s="261">
        <v>1.0249999999999999</v>
      </c>
      <c r="F204" s="327">
        <v>1.07</v>
      </c>
      <c r="G204" s="262">
        <f t="shared" si="7"/>
        <v>2.3349588500959997E-2</v>
      </c>
      <c r="I204" s="329">
        <v>350</v>
      </c>
      <c r="J204" s="330">
        <f t="shared" si="9"/>
        <v>0.98862558579818316</v>
      </c>
    </row>
    <row r="205" spans="1:10" s="49" customFormat="1" ht="12.5">
      <c r="A205" s="262">
        <v>3</v>
      </c>
      <c r="B205" s="261">
        <v>2</v>
      </c>
      <c r="C205" s="56">
        <v>2.2999999999999998</v>
      </c>
      <c r="D205" s="261">
        <f t="shared" si="8"/>
        <v>2.128980032E-2</v>
      </c>
      <c r="E205" s="261">
        <v>1.0249999999999999</v>
      </c>
      <c r="F205" s="327">
        <v>1.06</v>
      </c>
      <c r="G205" s="262">
        <f t="shared" si="7"/>
        <v>2.3131368047679998E-2</v>
      </c>
      <c r="I205" s="329">
        <v>350</v>
      </c>
      <c r="J205" s="330">
        <f t="shared" si="9"/>
        <v>0.98773387683801994</v>
      </c>
    </row>
    <row r="206" spans="1:10" s="49" customFormat="1" ht="12.5">
      <c r="A206" s="262">
        <v>3</v>
      </c>
      <c r="B206" s="261">
        <v>2</v>
      </c>
      <c r="C206" s="56">
        <v>2.4</v>
      </c>
      <c r="D206" s="261">
        <f t="shared" si="8"/>
        <v>2.128980032E-2</v>
      </c>
      <c r="E206" s="261">
        <v>1.0249999999999999</v>
      </c>
      <c r="F206" s="327">
        <v>1.05</v>
      </c>
      <c r="G206" s="262">
        <f t="shared" si="7"/>
        <v>2.2913147594399996E-2</v>
      </c>
      <c r="I206" s="329">
        <v>350</v>
      </c>
      <c r="J206" s="330">
        <f t="shared" si="9"/>
        <v>0.9867731967091159</v>
      </c>
    </row>
    <row r="207" spans="1:10" s="49" customFormat="1" ht="12.5">
      <c r="A207" s="262">
        <v>3</v>
      </c>
      <c r="B207" s="261">
        <v>2</v>
      </c>
      <c r="C207" s="56">
        <v>3.1</v>
      </c>
      <c r="D207" s="261">
        <f t="shared" si="8"/>
        <v>2.128980032E-2</v>
      </c>
      <c r="E207" s="261">
        <v>1.0249999999999999</v>
      </c>
      <c r="F207" s="327">
        <v>1.02</v>
      </c>
      <c r="G207" s="262">
        <f t="shared" si="7"/>
        <v>2.2258486234559997E-2</v>
      </c>
      <c r="I207" s="329">
        <v>350</v>
      </c>
      <c r="J207" s="330">
        <f t="shared" si="9"/>
        <v>0.98342365652358799</v>
      </c>
    </row>
    <row r="208" spans="1:10" s="49" customFormat="1" ht="12.5">
      <c r="A208" s="262">
        <v>3</v>
      </c>
      <c r="B208" s="261">
        <v>2</v>
      </c>
      <c r="C208" s="56">
        <v>3.2</v>
      </c>
      <c r="D208" s="261">
        <f t="shared" si="8"/>
        <v>2.128980032E-2</v>
      </c>
      <c r="E208" s="261">
        <v>1.0249999999999999</v>
      </c>
      <c r="F208" s="327">
        <v>1.0249999999999999</v>
      </c>
      <c r="G208" s="262">
        <f t="shared" si="7"/>
        <v>2.2367596461199995E-2</v>
      </c>
      <c r="I208" s="329">
        <v>350</v>
      </c>
      <c r="J208" s="330">
        <f t="shared" si="9"/>
        <v>0.98403483289584626</v>
      </c>
    </row>
    <row r="209" spans="1:10" s="49" customFormat="1" ht="12.5">
      <c r="A209" s="262">
        <v>3</v>
      </c>
      <c r="B209" s="261">
        <v>2</v>
      </c>
      <c r="C209" s="56">
        <v>3.3</v>
      </c>
      <c r="D209" s="261">
        <f t="shared" si="8"/>
        <v>2.128980032E-2</v>
      </c>
      <c r="E209" s="261">
        <v>1.0249999999999999</v>
      </c>
      <c r="F209" s="327">
        <v>1.03</v>
      </c>
      <c r="G209" s="262">
        <f t="shared" si="7"/>
        <v>2.2476706687839996E-2</v>
      </c>
      <c r="I209" s="329">
        <v>350</v>
      </c>
      <c r="J209" s="330">
        <f t="shared" si="9"/>
        <v>0.98462382728425268</v>
      </c>
    </row>
    <row r="210" spans="1:10" s="49" customFormat="1" ht="12.5">
      <c r="A210" s="262">
        <v>3</v>
      </c>
      <c r="B210" s="261">
        <v>2</v>
      </c>
      <c r="C210" s="56">
        <v>3.4</v>
      </c>
      <c r="D210" s="261">
        <f t="shared" si="8"/>
        <v>2.128980032E-2</v>
      </c>
      <c r="E210" s="261">
        <v>1.0249999999999999</v>
      </c>
      <c r="F210" s="327">
        <v>1.0349999999999999</v>
      </c>
      <c r="G210" s="262">
        <f t="shared" si="7"/>
        <v>2.2585816914479997E-2</v>
      </c>
      <c r="I210" s="329">
        <v>350</v>
      </c>
      <c r="J210" s="330">
        <f t="shared" si="9"/>
        <v>0.98519141922012621</v>
      </c>
    </row>
    <row r="211" spans="1:10" s="49" customFormat="1" ht="12.5">
      <c r="A211" s="262">
        <v>3</v>
      </c>
      <c r="B211" s="261">
        <v>2</v>
      </c>
      <c r="C211" s="56">
        <v>4.0999999999999996</v>
      </c>
      <c r="D211" s="261">
        <f t="shared" si="8"/>
        <v>2.128980032E-2</v>
      </c>
      <c r="E211" s="261">
        <v>1.0249999999999999</v>
      </c>
      <c r="F211" s="327">
        <v>1.1200000000000001</v>
      </c>
      <c r="G211" s="262">
        <f t="shared" si="7"/>
        <v>2.4440690767359999E-2</v>
      </c>
      <c r="I211" s="329">
        <v>350</v>
      </c>
      <c r="J211" s="330">
        <f t="shared" si="9"/>
        <v>0.99220799855783248</v>
      </c>
    </row>
    <row r="212" spans="1:10" s="49" customFormat="1" ht="12.5">
      <c r="A212" s="262">
        <v>3</v>
      </c>
      <c r="B212" s="261">
        <v>2</v>
      </c>
      <c r="C212" s="56">
        <v>4.2</v>
      </c>
      <c r="D212" s="261">
        <f t="shared" si="8"/>
        <v>2.128980032E-2</v>
      </c>
      <c r="E212" s="261">
        <v>1.0249999999999999</v>
      </c>
      <c r="F212" s="327">
        <v>1.1000000000000001</v>
      </c>
      <c r="G212" s="262">
        <f t="shared" si="7"/>
        <v>2.4004249860799999E-2</v>
      </c>
      <c r="I212" s="329">
        <v>350</v>
      </c>
      <c r="J212" s="330">
        <f t="shared" si="9"/>
        <v>0.99093367578977931</v>
      </c>
    </row>
    <row r="213" spans="1:10" s="49" customFormat="1" ht="12.5">
      <c r="A213" s="262">
        <v>3</v>
      </c>
      <c r="B213" s="261">
        <v>2</v>
      </c>
      <c r="C213" s="191">
        <v>4.3</v>
      </c>
      <c r="D213" s="261">
        <f t="shared" si="8"/>
        <v>2.128980032E-2</v>
      </c>
      <c r="E213" s="261">
        <v>1.0249999999999999</v>
      </c>
      <c r="F213" s="327">
        <v>1.08</v>
      </c>
      <c r="G213" s="262">
        <f t="shared" si="7"/>
        <v>2.3567808954239999E-2</v>
      </c>
      <c r="I213" s="329">
        <v>350</v>
      </c>
      <c r="J213" s="330">
        <f t="shared" si="9"/>
        <v>0.98945316247701276</v>
      </c>
    </row>
    <row r="214" spans="1:10" s="49" customFormat="1" ht="12.5">
      <c r="A214" s="262">
        <v>3</v>
      </c>
      <c r="B214" s="261">
        <v>2</v>
      </c>
      <c r="C214" s="191">
        <v>4.4000000000000004</v>
      </c>
      <c r="D214" s="261">
        <f t="shared" si="8"/>
        <v>2.128980032E-2</v>
      </c>
      <c r="E214" s="261">
        <v>1.0249999999999999</v>
      </c>
      <c r="F214" s="327">
        <v>1.06</v>
      </c>
      <c r="G214" s="262">
        <f t="shared" si="7"/>
        <v>2.3131368047679998E-2</v>
      </c>
      <c r="I214" s="329">
        <v>350</v>
      </c>
      <c r="J214" s="330">
        <f t="shared" si="9"/>
        <v>0.98773387683801994</v>
      </c>
    </row>
    <row r="215" spans="1:10" s="49" customFormat="1" ht="12.5">
      <c r="A215" s="262">
        <v>3</v>
      </c>
      <c r="B215" s="261">
        <v>3</v>
      </c>
      <c r="C215" s="56">
        <v>1</v>
      </c>
      <c r="D215" s="261">
        <f t="shared" si="8"/>
        <v>1.9910266970000003E-2</v>
      </c>
      <c r="E215" s="261">
        <v>1</v>
      </c>
      <c r="F215" s="327">
        <v>1</v>
      </c>
      <c r="G215" s="262">
        <f t="shared" si="7"/>
        <v>1.9910266970000003E-2</v>
      </c>
      <c r="I215" s="329">
        <v>350</v>
      </c>
      <c r="J215" s="330">
        <f t="shared" si="9"/>
        <v>0.96307301628328879</v>
      </c>
    </row>
    <row r="216" spans="1:10" s="49" customFormat="1" ht="12.5">
      <c r="A216" s="262">
        <v>3</v>
      </c>
      <c r="B216" s="261">
        <v>3</v>
      </c>
      <c r="C216" s="56">
        <v>2.1</v>
      </c>
      <c r="D216" s="261">
        <f t="shared" si="8"/>
        <v>1.9910266970000003E-2</v>
      </c>
      <c r="E216" s="261">
        <v>1</v>
      </c>
      <c r="F216" s="327">
        <v>1.08</v>
      </c>
      <c r="G216" s="262">
        <f t="shared" si="7"/>
        <v>2.1503088327600006E-2</v>
      </c>
      <c r="I216" s="329">
        <v>350</v>
      </c>
      <c r="J216" s="330">
        <f t="shared" si="9"/>
        <v>0.97851485403102423</v>
      </c>
    </row>
    <row r="217" spans="1:10" s="49" customFormat="1" ht="12.5">
      <c r="A217" s="262">
        <v>3</v>
      </c>
      <c r="B217" s="261">
        <v>3</v>
      </c>
      <c r="C217" s="56">
        <v>2.2000000000000002</v>
      </c>
      <c r="D217" s="261">
        <f t="shared" si="8"/>
        <v>1.9910266970000003E-2</v>
      </c>
      <c r="E217" s="261">
        <v>1</v>
      </c>
      <c r="F217" s="327">
        <v>1.07</v>
      </c>
      <c r="G217" s="262">
        <f t="shared" si="7"/>
        <v>2.1303985657900006E-2</v>
      </c>
      <c r="I217" s="329">
        <v>350</v>
      </c>
      <c r="J217" s="330">
        <f t="shared" si="9"/>
        <v>0.97699990529406211</v>
      </c>
    </row>
    <row r="218" spans="1:10" s="49" customFormat="1" ht="12.5">
      <c r="A218" s="262">
        <v>3</v>
      </c>
      <c r="B218" s="261">
        <v>3</v>
      </c>
      <c r="C218" s="56">
        <v>2.2999999999999998</v>
      </c>
      <c r="D218" s="261">
        <f t="shared" si="8"/>
        <v>1.9910266970000003E-2</v>
      </c>
      <c r="E218" s="261">
        <v>1</v>
      </c>
      <c r="F218" s="327">
        <v>1.06</v>
      </c>
      <c r="G218" s="262">
        <f t="shared" si="7"/>
        <v>2.1104882988200003E-2</v>
      </c>
      <c r="I218" s="329">
        <v>350</v>
      </c>
      <c r="J218" s="330">
        <f t="shared" si="9"/>
        <v>0.97538082292320349</v>
      </c>
    </row>
    <row r="219" spans="1:10" s="49" customFormat="1" ht="12.5">
      <c r="A219" s="262">
        <v>3</v>
      </c>
      <c r="B219" s="261">
        <v>3</v>
      </c>
      <c r="C219" s="56">
        <v>2.4</v>
      </c>
      <c r="D219" s="261">
        <f t="shared" si="8"/>
        <v>1.9910266970000003E-2</v>
      </c>
      <c r="E219" s="261">
        <v>1</v>
      </c>
      <c r="F219" s="327">
        <v>1.05</v>
      </c>
      <c r="G219" s="262">
        <f t="shared" si="7"/>
        <v>2.0905780318500003E-2</v>
      </c>
      <c r="I219" s="329">
        <v>350</v>
      </c>
      <c r="J219" s="330">
        <f t="shared" si="9"/>
        <v>0.97365083973802036</v>
      </c>
    </row>
    <row r="220" spans="1:10" s="49" customFormat="1" ht="12.5">
      <c r="A220" s="262">
        <v>3</v>
      </c>
      <c r="B220" s="261">
        <v>3</v>
      </c>
      <c r="C220" s="56">
        <v>3.1</v>
      </c>
      <c r="D220" s="261">
        <f t="shared" si="8"/>
        <v>1.9910266970000003E-2</v>
      </c>
      <c r="E220" s="261">
        <v>1</v>
      </c>
      <c r="F220" s="327">
        <v>1.02</v>
      </c>
      <c r="G220" s="262">
        <f t="shared" si="7"/>
        <v>2.0308472309400003E-2</v>
      </c>
      <c r="I220" s="329">
        <v>350</v>
      </c>
      <c r="J220" s="330">
        <f t="shared" si="9"/>
        <v>0.96772198679426236</v>
      </c>
    </row>
    <row r="221" spans="1:10" s="49" customFormat="1" ht="12.5">
      <c r="A221" s="262">
        <v>3</v>
      </c>
      <c r="B221" s="261">
        <v>3</v>
      </c>
      <c r="C221" s="56">
        <v>3.2</v>
      </c>
      <c r="D221" s="261">
        <f t="shared" si="8"/>
        <v>1.9910266970000003E-2</v>
      </c>
      <c r="E221" s="261">
        <v>1</v>
      </c>
      <c r="F221" s="327">
        <v>1.0249999999999999</v>
      </c>
      <c r="G221" s="262">
        <f t="shared" si="7"/>
        <v>2.0408023644250001E-2</v>
      </c>
      <c r="I221" s="329">
        <v>350</v>
      </c>
      <c r="J221" s="330">
        <f t="shared" si="9"/>
        <v>0.96879278772061694</v>
      </c>
    </row>
    <row r="222" spans="1:10" s="49" customFormat="1" ht="12.5">
      <c r="A222" s="262">
        <v>3</v>
      </c>
      <c r="B222" s="261">
        <v>3</v>
      </c>
      <c r="C222" s="56">
        <v>3.3</v>
      </c>
      <c r="D222" s="261">
        <f t="shared" si="8"/>
        <v>1.9910266970000003E-2</v>
      </c>
      <c r="E222" s="261">
        <v>1</v>
      </c>
      <c r="F222" s="327">
        <v>1.03</v>
      </c>
      <c r="G222" s="262">
        <f t="shared" si="7"/>
        <v>2.0507574979100003E-2</v>
      </c>
      <c r="I222" s="329">
        <v>350</v>
      </c>
      <c r="J222" s="330">
        <f t="shared" si="9"/>
        <v>0.96982917307049821</v>
      </c>
    </row>
    <row r="223" spans="1:10" s="49" customFormat="1" ht="12.5">
      <c r="A223" s="262">
        <v>3</v>
      </c>
      <c r="B223" s="261">
        <v>3</v>
      </c>
      <c r="C223" s="56">
        <v>3.4</v>
      </c>
      <c r="D223" s="261">
        <f t="shared" si="8"/>
        <v>1.9910266970000003E-2</v>
      </c>
      <c r="E223" s="261">
        <v>1</v>
      </c>
      <c r="F223" s="327">
        <v>1.0349999999999999</v>
      </c>
      <c r="G223" s="262">
        <f t="shared" si="7"/>
        <v>2.0607126313950001E-2</v>
      </c>
      <c r="I223" s="329">
        <v>350</v>
      </c>
      <c r="J223" s="330">
        <f t="shared" si="9"/>
        <v>0.97083217650859643</v>
      </c>
    </row>
    <row r="224" spans="1:10" s="49" customFormat="1" ht="12.5">
      <c r="A224" s="262">
        <v>3</v>
      </c>
      <c r="B224" s="261">
        <v>3</v>
      </c>
      <c r="C224" s="56">
        <v>4.0999999999999996</v>
      </c>
      <c r="D224" s="261">
        <f t="shared" si="8"/>
        <v>1.9910266970000003E-2</v>
      </c>
      <c r="E224" s="261">
        <v>1</v>
      </c>
      <c r="F224" s="327">
        <v>1.1200000000000001</v>
      </c>
      <c r="G224" s="262">
        <f t="shared" si="7"/>
        <v>2.2299499006400006E-2</v>
      </c>
      <c r="I224" s="329">
        <v>350</v>
      </c>
      <c r="J224" s="330">
        <f t="shared" si="9"/>
        <v>0.98365604033028764</v>
      </c>
    </row>
    <row r="225" spans="1:10" s="49" customFormat="1" ht="12.5">
      <c r="A225" s="262">
        <v>3</v>
      </c>
      <c r="B225" s="261">
        <v>3</v>
      </c>
      <c r="C225" s="56">
        <v>4.2</v>
      </c>
      <c r="D225" s="261">
        <f t="shared" si="8"/>
        <v>1.9910266970000003E-2</v>
      </c>
      <c r="E225" s="261">
        <v>1</v>
      </c>
      <c r="F225" s="327">
        <v>1.1000000000000001</v>
      </c>
      <c r="G225" s="262">
        <f t="shared" si="7"/>
        <v>2.1901293667000006E-2</v>
      </c>
      <c r="I225" s="329">
        <v>350</v>
      </c>
      <c r="J225" s="330">
        <f t="shared" si="9"/>
        <v>0.98125758799695584</v>
      </c>
    </row>
    <row r="226" spans="1:10" s="49" customFormat="1" ht="12.5">
      <c r="A226" s="262">
        <v>3</v>
      </c>
      <c r="B226" s="261">
        <v>3</v>
      </c>
      <c r="C226" s="191">
        <v>4.3</v>
      </c>
      <c r="D226" s="261">
        <f t="shared" si="8"/>
        <v>1.9910266970000003E-2</v>
      </c>
      <c r="E226" s="261">
        <v>1</v>
      </c>
      <c r="F226" s="327">
        <v>1.08</v>
      </c>
      <c r="G226" s="262">
        <f t="shared" si="7"/>
        <v>2.1503088327600006E-2</v>
      </c>
      <c r="I226" s="329">
        <v>350</v>
      </c>
      <c r="J226" s="330">
        <f t="shared" si="9"/>
        <v>0.97851485403102423</v>
      </c>
    </row>
    <row r="227" spans="1:10" s="49" customFormat="1" ht="12.5">
      <c r="A227" s="262">
        <v>3</v>
      </c>
      <c r="B227" s="261">
        <v>3</v>
      </c>
      <c r="C227" s="191">
        <v>4.4000000000000004</v>
      </c>
      <c r="D227" s="261">
        <f t="shared" si="8"/>
        <v>1.9910266970000003E-2</v>
      </c>
      <c r="E227" s="261">
        <v>1</v>
      </c>
      <c r="F227" s="327">
        <v>1.06</v>
      </c>
      <c r="G227" s="262">
        <f t="shared" si="7"/>
        <v>2.1104882988200003E-2</v>
      </c>
      <c r="I227" s="329">
        <v>350</v>
      </c>
      <c r="J227" s="330">
        <f t="shared" si="9"/>
        <v>0.97538082292320349</v>
      </c>
    </row>
    <row r="228" spans="1:10" s="49" customFormat="1" ht="12.5">
      <c r="A228" s="262">
        <v>3</v>
      </c>
      <c r="B228" s="261">
        <v>4</v>
      </c>
      <c r="C228" s="56">
        <v>1</v>
      </c>
      <c r="D228" s="261">
        <f t="shared" si="8"/>
        <v>1.6953400280000003E-2</v>
      </c>
      <c r="E228" s="261">
        <v>0.98</v>
      </c>
      <c r="F228" s="327">
        <v>1</v>
      </c>
      <c r="G228" s="262">
        <f t="shared" si="7"/>
        <v>1.6614332274400002E-2</v>
      </c>
      <c r="I228" s="329">
        <v>350</v>
      </c>
      <c r="J228" s="330">
        <f t="shared" si="9"/>
        <v>0.89164058848562688</v>
      </c>
    </row>
    <row r="229" spans="1:10" s="49" customFormat="1" ht="12.5">
      <c r="A229" s="262">
        <v>3</v>
      </c>
      <c r="B229" s="261">
        <v>4</v>
      </c>
      <c r="C229" s="56">
        <v>2.1</v>
      </c>
      <c r="D229" s="261">
        <f t="shared" si="8"/>
        <v>1.6953400280000003E-2</v>
      </c>
      <c r="E229" s="261">
        <v>0.98</v>
      </c>
      <c r="F229" s="327">
        <v>1.08</v>
      </c>
      <c r="G229" s="262">
        <f t="shared" si="7"/>
        <v>1.7943478856352002E-2</v>
      </c>
      <c r="I229" s="329">
        <v>350</v>
      </c>
      <c r="J229" s="330">
        <f t="shared" si="9"/>
        <v>0.92909109994272165</v>
      </c>
    </row>
    <row r="230" spans="1:10" s="49" customFormat="1" ht="12.5">
      <c r="A230" s="262">
        <v>3</v>
      </c>
      <c r="B230" s="261">
        <v>4</v>
      </c>
      <c r="C230" s="56">
        <v>2.2000000000000002</v>
      </c>
      <c r="D230" s="261">
        <f t="shared" si="8"/>
        <v>1.6953400280000003E-2</v>
      </c>
      <c r="E230" s="261">
        <v>0.98</v>
      </c>
      <c r="F230" s="327">
        <v>1.07</v>
      </c>
      <c r="G230" s="262">
        <f t="shared" si="7"/>
        <v>1.7777335533608003E-2</v>
      </c>
      <c r="I230" s="329">
        <v>350</v>
      </c>
      <c r="J230" s="330">
        <f t="shared" si="9"/>
        <v>0.92516321843489491</v>
      </c>
    </row>
    <row r="231" spans="1:10" s="49" customFormat="1" ht="12.5">
      <c r="A231" s="262">
        <v>3</v>
      </c>
      <c r="B231" s="261">
        <v>4</v>
      </c>
      <c r="C231" s="56">
        <v>2.2999999999999998</v>
      </c>
      <c r="D231" s="261">
        <f t="shared" si="8"/>
        <v>1.6953400280000003E-2</v>
      </c>
      <c r="E231" s="261">
        <v>0.98</v>
      </c>
      <c r="F231" s="327">
        <v>1.06</v>
      </c>
      <c r="G231" s="262">
        <f t="shared" si="7"/>
        <v>1.7611192210864001E-2</v>
      </c>
      <c r="I231" s="329">
        <v>350</v>
      </c>
      <c r="J231" s="330">
        <f t="shared" si="9"/>
        <v>0.92103625048005033</v>
      </c>
    </row>
    <row r="232" spans="1:10" s="49" customFormat="1" ht="12.5">
      <c r="A232" s="262">
        <v>3</v>
      </c>
      <c r="B232" s="261">
        <v>4</v>
      </c>
      <c r="C232" s="56">
        <v>2.4</v>
      </c>
      <c r="D232" s="261">
        <f t="shared" si="8"/>
        <v>1.6953400280000003E-2</v>
      </c>
      <c r="E232" s="261">
        <v>0.98</v>
      </c>
      <c r="F232" s="327">
        <v>1.05</v>
      </c>
      <c r="G232" s="262">
        <f t="shared" si="7"/>
        <v>1.7445048888120002E-2</v>
      </c>
      <c r="I232" s="329">
        <v>350</v>
      </c>
      <c r="J232" s="330">
        <f t="shared" si="9"/>
        <v>0.91670218667503089</v>
      </c>
    </row>
    <row r="233" spans="1:10" s="49" customFormat="1" ht="12.5">
      <c r="A233" s="262">
        <v>3</v>
      </c>
      <c r="B233" s="261">
        <v>4</v>
      </c>
      <c r="C233" s="56">
        <v>3.1</v>
      </c>
      <c r="D233" s="261">
        <f t="shared" si="8"/>
        <v>1.6953400280000003E-2</v>
      </c>
      <c r="E233" s="261">
        <v>0.98</v>
      </c>
      <c r="F233" s="327">
        <v>1.02</v>
      </c>
      <c r="G233" s="262">
        <f t="shared" si="7"/>
        <v>1.6946618919888003E-2</v>
      </c>
      <c r="I233" s="329">
        <v>350</v>
      </c>
      <c r="J233" s="330">
        <f t="shared" si="9"/>
        <v>0.90237617120238478</v>
      </c>
    </row>
    <row r="234" spans="1:10" s="49" customFormat="1" ht="12.5">
      <c r="A234" s="262">
        <v>3</v>
      </c>
      <c r="B234" s="261">
        <v>4</v>
      </c>
      <c r="C234" s="56">
        <v>3.2</v>
      </c>
      <c r="D234" s="261">
        <f t="shared" si="8"/>
        <v>1.6953400280000003E-2</v>
      </c>
      <c r="E234" s="261">
        <v>0.98</v>
      </c>
      <c r="F234" s="327">
        <v>1.0249999999999999</v>
      </c>
      <c r="G234" s="262">
        <f t="shared" si="7"/>
        <v>1.7029690581259999E-2</v>
      </c>
      <c r="I234" s="329">
        <v>350</v>
      </c>
      <c r="J234" s="330">
        <f t="shared" si="9"/>
        <v>0.90490769948674166</v>
      </c>
    </row>
    <row r="235" spans="1:10" s="49" customFormat="1" ht="12.5">
      <c r="A235" s="262">
        <v>3</v>
      </c>
      <c r="B235" s="261">
        <v>4</v>
      </c>
      <c r="C235" s="56">
        <v>3.3</v>
      </c>
      <c r="D235" s="261">
        <f t="shared" si="8"/>
        <v>1.6953400280000003E-2</v>
      </c>
      <c r="E235" s="261">
        <v>0.98</v>
      </c>
      <c r="F235" s="327">
        <v>1.03</v>
      </c>
      <c r="G235" s="262">
        <f t="shared" si="7"/>
        <v>1.7112762242632001E-2</v>
      </c>
      <c r="I235" s="329">
        <v>350</v>
      </c>
      <c r="J235" s="330">
        <f t="shared" si="9"/>
        <v>0.90738031946283637</v>
      </c>
    </row>
    <row r="236" spans="1:10" s="49" customFormat="1" ht="12.5">
      <c r="A236" s="262">
        <v>3</v>
      </c>
      <c r="B236" s="261">
        <v>4</v>
      </c>
      <c r="C236" s="56">
        <v>3.4</v>
      </c>
      <c r="D236" s="261">
        <f t="shared" si="8"/>
        <v>1.6953400280000003E-2</v>
      </c>
      <c r="E236" s="261">
        <v>0.98</v>
      </c>
      <c r="F236" s="327">
        <v>1.0349999999999999</v>
      </c>
      <c r="G236" s="262">
        <f t="shared" si="7"/>
        <v>1.7195833904004001E-2</v>
      </c>
      <c r="I236" s="329">
        <v>350</v>
      </c>
      <c r="J236" s="330">
        <f t="shared" si="9"/>
        <v>0.90979505467133603</v>
      </c>
    </row>
    <row r="237" spans="1:10" s="49" customFormat="1" ht="12.5">
      <c r="A237" s="262">
        <v>3</v>
      </c>
      <c r="B237" s="261">
        <v>4</v>
      </c>
      <c r="C237" s="56">
        <v>4.0999999999999996</v>
      </c>
      <c r="D237" s="261">
        <f t="shared" si="8"/>
        <v>1.6953400280000003E-2</v>
      </c>
      <c r="E237" s="261">
        <v>0.98</v>
      </c>
      <c r="F237" s="327">
        <v>1.1200000000000001</v>
      </c>
      <c r="G237" s="262">
        <f t="shared" si="7"/>
        <v>1.8608052147328004E-2</v>
      </c>
      <c r="I237" s="329">
        <v>350</v>
      </c>
      <c r="J237" s="330">
        <f t="shared" si="9"/>
        <v>0.94296755141654875</v>
      </c>
    </row>
    <row r="238" spans="1:10" s="49" customFormat="1" ht="12.5">
      <c r="A238" s="262">
        <v>3</v>
      </c>
      <c r="B238" s="261">
        <v>4</v>
      </c>
      <c r="C238" s="56">
        <v>4.2</v>
      </c>
      <c r="D238" s="261">
        <f t="shared" si="8"/>
        <v>1.6953400280000003E-2</v>
      </c>
      <c r="E238" s="261">
        <v>0.98</v>
      </c>
      <c r="F238" s="327">
        <v>1.1000000000000001</v>
      </c>
      <c r="G238" s="262">
        <f t="shared" si="7"/>
        <v>1.8275765501840003E-2</v>
      </c>
      <c r="I238" s="329">
        <v>350</v>
      </c>
      <c r="J238" s="330">
        <f t="shared" si="9"/>
        <v>0.93638105300974817</v>
      </c>
    </row>
    <row r="239" spans="1:10" s="49" customFormat="1" ht="12.5">
      <c r="A239" s="262">
        <v>3</v>
      </c>
      <c r="B239" s="261">
        <v>4</v>
      </c>
      <c r="C239" s="191">
        <v>4.3</v>
      </c>
      <c r="D239" s="261">
        <f t="shared" si="8"/>
        <v>1.6953400280000003E-2</v>
      </c>
      <c r="E239" s="261">
        <v>0.98</v>
      </c>
      <c r="F239" s="327">
        <v>1.08</v>
      </c>
      <c r="G239" s="262">
        <f t="shared" si="7"/>
        <v>1.7943478856352002E-2</v>
      </c>
      <c r="I239" s="329">
        <v>350</v>
      </c>
      <c r="J239" s="330">
        <f t="shared" si="9"/>
        <v>0.92909109994272165</v>
      </c>
    </row>
    <row r="240" spans="1:10" s="49" customFormat="1" ht="12.5">
      <c r="A240" s="262">
        <v>3</v>
      </c>
      <c r="B240" s="261">
        <v>4</v>
      </c>
      <c r="C240" s="191">
        <v>4.4000000000000004</v>
      </c>
      <c r="D240" s="261">
        <f t="shared" si="8"/>
        <v>1.6953400280000003E-2</v>
      </c>
      <c r="E240" s="261">
        <v>0.98</v>
      </c>
      <c r="F240" s="327">
        <v>1.06</v>
      </c>
      <c r="G240" s="262">
        <f t="shared" si="7"/>
        <v>1.7611192210864001E-2</v>
      </c>
      <c r="I240" s="329">
        <v>350</v>
      </c>
      <c r="J240" s="330">
        <f t="shared" si="9"/>
        <v>0.92103625048005033</v>
      </c>
    </row>
    <row r="241" spans="1:10" s="49" customFormat="1" ht="12.5">
      <c r="A241" s="262">
        <v>3</v>
      </c>
      <c r="B241" s="261">
        <v>5</v>
      </c>
      <c r="C241" s="56">
        <v>1</v>
      </c>
      <c r="D241" s="261">
        <f t="shared" si="8"/>
        <v>1.2419200249999998E-2</v>
      </c>
      <c r="E241" s="261">
        <v>0.95</v>
      </c>
      <c r="F241" s="327">
        <v>1</v>
      </c>
      <c r="G241" s="262">
        <f t="shared" si="7"/>
        <v>1.1798240237499997E-2</v>
      </c>
      <c r="I241" s="329">
        <v>350</v>
      </c>
      <c r="J241" s="330">
        <f t="shared" si="9"/>
        <v>0.60395630927460009</v>
      </c>
    </row>
    <row r="242" spans="1:10" s="49" customFormat="1" ht="12.5">
      <c r="A242" s="262">
        <v>3</v>
      </c>
      <c r="B242" s="261">
        <v>5</v>
      </c>
      <c r="C242" s="56">
        <v>2.1</v>
      </c>
      <c r="D242" s="261">
        <f t="shared" si="8"/>
        <v>1.2419200249999998E-2</v>
      </c>
      <c r="E242" s="261">
        <v>0.95</v>
      </c>
      <c r="F242" s="327">
        <v>1.08</v>
      </c>
      <c r="G242" s="262">
        <f t="shared" si="7"/>
        <v>1.2742099456499997E-2</v>
      </c>
      <c r="I242" s="329">
        <v>350</v>
      </c>
      <c r="J242" s="330">
        <f t="shared" si="9"/>
        <v>0.67968575810166165</v>
      </c>
    </row>
    <row r="243" spans="1:10" s="49" customFormat="1" ht="12.5">
      <c r="A243" s="262">
        <v>3</v>
      </c>
      <c r="B243" s="261">
        <v>5</v>
      </c>
      <c r="C243" s="56">
        <v>2.2000000000000002</v>
      </c>
      <c r="D243" s="261">
        <f t="shared" si="8"/>
        <v>1.2419200249999998E-2</v>
      </c>
      <c r="E243" s="261">
        <v>0.95</v>
      </c>
      <c r="F243" s="327">
        <v>1.07</v>
      </c>
      <c r="G243" s="262">
        <f t="shared" si="7"/>
        <v>1.2624117054124997E-2</v>
      </c>
      <c r="I243" s="329">
        <v>350</v>
      </c>
      <c r="J243" s="330">
        <f t="shared" si="9"/>
        <v>0.67062964217480692</v>
      </c>
    </row>
    <row r="244" spans="1:10" s="49" customFormat="1" ht="12.5">
      <c r="A244" s="262">
        <v>3</v>
      </c>
      <c r="B244" s="261">
        <v>5</v>
      </c>
      <c r="C244" s="56">
        <v>2.2999999999999998</v>
      </c>
      <c r="D244" s="261">
        <f t="shared" si="8"/>
        <v>1.2419200249999998E-2</v>
      </c>
      <c r="E244" s="261">
        <v>0.95</v>
      </c>
      <c r="F244" s="327">
        <v>1.06</v>
      </c>
      <c r="G244" s="262">
        <f t="shared" si="7"/>
        <v>1.2506134651749998E-2</v>
      </c>
      <c r="I244" s="329">
        <v>350</v>
      </c>
      <c r="J244" s="330">
        <f t="shared" si="9"/>
        <v>0.66144502112720349</v>
      </c>
    </row>
    <row r="245" spans="1:10" s="49" customFormat="1" ht="12.5">
      <c r="A245" s="262">
        <v>3</v>
      </c>
      <c r="B245" s="261">
        <v>5</v>
      </c>
      <c r="C245" s="56">
        <v>2.4</v>
      </c>
      <c r="D245" s="261">
        <f t="shared" si="8"/>
        <v>1.2419200249999998E-2</v>
      </c>
      <c r="E245" s="261">
        <v>0.95</v>
      </c>
      <c r="F245" s="327">
        <v>1.05</v>
      </c>
      <c r="G245" s="262">
        <f t="shared" si="7"/>
        <v>1.2388152249374998E-2</v>
      </c>
      <c r="I245" s="329">
        <v>350</v>
      </c>
      <c r="J245" s="330">
        <f t="shared" si="9"/>
        <v>0.65213713386719185</v>
      </c>
    </row>
    <row r="246" spans="1:10" s="49" customFormat="1" ht="12.5">
      <c r="A246" s="262">
        <v>3</v>
      </c>
      <c r="B246" s="261">
        <v>5</v>
      </c>
      <c r="C246" s="56">
        <v>3.1</v>
      </c>
      <c r="D246" s="261">
        <f t="shared" si="8"/>
        <v>1.2419200249999998E-2</v>
      </c>
      <c r="E246" s="261">
        <v>0.95</v>
      </c>
      <c r="F246" s="327">
        <v>1.02</v>
      </c>
      <c r="G246" s="262">
        <f t="shared" si="7"/>
        <v>1.2034205042249998E-2</v>
      </c>
      <c r="I246" s="329">
        <v>350</v>
      </c>
      <c r="J246" s="330">
        <f t="shared" si="9"/>
        <v>0.62353152332514894</v>
      </c>
    </row>
    <row r="247" spans="1:10" s="49" customFormat="1" ht="12.5">
      <c r="A247" s="262">
        <v>3</v>
      </c>
      <c r="B247" s="261">
        <v>5</v>
      </c>
      <c r="C247" s="56">
        <v>3.2</v>
      </c>
      <c r="D247" s="261">
        <f t="shared" si="8"/>
        <v>1.2419200249999998E-2</v>
      </c>
      <c r="E247" s="261">
        <v>0.95</v>
      </c>
      <c r="F247" s="327">
        <v>1.0249999999999999</v>
      </c>
      <c r="G247" s="262">
        <f t="shared" si="7"/>
        <v>1.2093196243437496E-2</v>
      </c>
      <c r="I247" s="329">
        <v>350</v>
      </c>
      <c r="J247" s="330">
        <f t="shared" si="9"/>
        <v>0.62836567918939301</v>
      </c>
    </row>
    <row r="248" spans="1:10" s="49" customFormat="1" ht="12.5">
      <c r="A248" s="262">
        <v>3</v>
      </c>
      <c r="B248" s="261">
        <v>5</v>
      </c>
      <c r="C248" s="56">
        <v>3.3</v>
      </c>
      <c r="D248" s="261">
        <f t="shared" si="8"/>
        <v>1.2419200249999998E-2</v>
      </c>
      <c r="E248" s="261">
        <v>0.95</v>
      </c>
      <c r="F248" s="327">
        <v>1.03</v>
      </c>
      <c r="G248" s="262">
        <f t="shared" si="7"/>
        <v>1.2152187444624997E-2</v>
      </c>
      <c r="I248" s="329">
        <v>350</v>
      </c>
      <c r="J248" s="330">
        <f t="shared" si="9"/>
        <v>0.63317427922589675</v>
      </c>
    </row>
    <row r="249" spans="1:10" s="49" customFormat="1" ht="12.5">
      <c r="A249" s="262">
        <v>3</v>
      </c>
      <c r="B249" s="261">
        <v>5</v>
      </c>
      <c r="C249" s="56">
        <v>3.4</v>
      </c>
      <c r="D249" s="261">
        <f t="shared" si="8"/>
        <v>1.2419200249999998E-2</v>
      </c>
      <c r="E249" s="261">
        <v>0.95</v>
      </c>
      <c r="F249" s="327">
        <v>1.0349999999999999</v>
      </c>
      <c r="G249" s="262">
        <f t="shared" si="7"/>
        <v>1.2211178645812495E-2</v>
      </c>
      <c r="I249" s="329">
        <v>350</v>
      </c>
      <c r="J249" s="330">
        <f t="shared" si="9"/>
        <v>0.63795650888227506</v>
      </c>
    </row>
    <row r="250" spans="1:10" s="49" customFormat="1" ht="12.5">
      <c r="A250" s="262">
        <v>3</v>
      </c>
      <c r="B250" s="261">
        <v>5</v>
      </c>
      <c r="C250" s="56">
        <v>4.0999999999999996</v>
      </c>
      <c r="D250" s="261">
        <f t="shared" si="8"/>
        <v>1.2419200249999998E-2</v>
      </c>
      <c r="E250" s="261">
        <v>0.95</v>
      </c>
      <c r="F250" s="327">
        <v>1.1200000000000001</v>
      </c>
      <c r="G250" s="262">
        <f t="shared" si="7"/>
        <v>1.3214029065999998E-2</v>
      </c>
      <c r="I250" s="329">
        <v>350</v>
      </c>
      <c r="J250" s="330">
        <f t="shared" si="9"/>
        <v>0.71453313618429237</v>
      </c>
    </row>
    <row r="251" spans="1:10" s="49" customFormat="1" ht="12.5">
      <c r="A251" s="262">
        <v>3</v>
      </c>
      <c r="B251" s="261">
        <v>5</v>
      </c>
      <c r="C251" s="56">
        <v>4.2</v>
      </c>
      <c r="D251" s="261">
        <f t="shared" si="8"/>
        <v>1.2419200249999998E-2</v>
      </c>
      <c r="E251" s="261">
        <v>0.95</v>
      </c>
      <c r="F251" s="327">
        <v>1.1000000000000001</v>
      </c>
      <c r="G251" s="262">
        <f t="shared" ref="G251:G314" si="10">D251*E251*F251</f>
        <v>1.2978064261249998E-2</v>
      </c>
      <c r="I251" s="329">
        <v>350</v>
      </c>
      <c r="J251" s="330">
        <f t="shared" si="9"/>
        <v>0.69739333127053493</v>
      </c>
    </row>
    <row r="252" spans="1:10" s="49" customFormat="1" ht="12.5">
      <c r="A252" s="262">
        <v>3</v>
      </c>
      <c r="B252" s="261">
        <v>5</v>
      </c>
      <c r="C252" s="191">
        <v>4.3</v>
      </c>
      <c r="D252" s="261">
        <f t="shared" ref="D252:D315" si="11">0.019316867+0.0025638*B252-0.00078866667*B252*B252</f>
        <v>1.2419200249999998E-2</v>
      </c>
      <c r="E252" s="261">
        <v>0.95</v>
      </c>
      <c r="F252" s="327">
        <v>1.08</v>
      </c>
      <c r="G252" s="262">
        <f t="shared" si="10"/>
        <v>1.2742099456499997E-2</v>
      </c>
      <c r="I252" s="329">
        <v>350</v>
      </c>
      <c r="J252" s="330">
        <f t="shared" ref="J252:J315" si="12">$B$8/(1+$D$8*EXP(-G252*I252))</f>
        <v>0.67968575810166165</v>
      </c>
    </row>
    <row r="253" spans="1:10" s="49" customFormat="1" ht="12.5">
      <c r="A253" s="262">
        <v>3</v>
      </c>
      <c r="B253" s="261">
        <v>5</v>
      </c>
      <c r="C253" s="191">
        <v>4.4000000000000004</v>
      </c>
      <c r="D253" s="261">
        <f t="shared" si="11"/>
        <v>1.2419200249999998E-2</v>
      </c>
      <c r="E253" s="261">
        <v>0.95</v>
      </c>
      <c r="F253" s="327">
        <v>1.06</v>
      </c>
      <c r="G253" s="262">
        <f t="shared" si="10"/>
        <v>1.2506134651749998E-2</v>
      </c>
      <c r="I253" s="329">
        <v>350</v>
      </c>
      <c r="J253" s="330">
        <f t="shared" si="12"/>
        <v>0.66144502112720349</v>
      </c>
    </row>
    <row r="254" spans="1:10" s="49" customFormat="1" ht="12.5">
      <c r="A254" s="262">
        <v>4</v>
      </c>
      <c r="B254" s="261">
        <v>1</v>
      </c>
      <c r="C254" s="56">
        <v>1</v>
      </c>
      <c r="D254" s="261">
        <f t="shared" si="11"/>
        <v>2.1092000330000003E-2</v>
      </c>
      <c r="E254" s="261">
        <v>1.1000000000000001</v>
      </c>
      <c r="F254" s="327">
        <v>1</v>
      </c>
      <c r="G254" s="262">
        <f t="shared" si="10"/>
        <v>2.3201200363000003E-2</v>
      </c>
      <c r="I254" s="329">
        <v>350</v>
      </c>
      <c r="J254" s="330">
        <f t="shared" si="12"/>
        <v>0.98802649672970655</v>
      </c>
    </row>
    <row r="255" spans="1:10" s="49" customFormat="1" ht="12.5">
      <c r="A255" s="262">
        <v>4</v>
      </c>
      <c r="B255" s="261">
        <v>1</v>
      </c>
      <c r="C255" s="56">
        <v>2.1</v>
      </c>
      <c r="D255" s="261">
        <f t="shared" si="11"/>
        <v>2.1092000330000003E-2</v>
      </c>
      <c r="E255" s="261">
        <v>1.1000000000000001</v>
      </c>
      <c r="F255" s="327">
        <v>1.08</v>
      </c>
      <c r="G255" s="262">
        <f t="shared" si="10"/>
        <v>2.5057296392040004E-2</v>
      </c>
      <c r="I255" s="329">
        <v>350</v>
      </c>
      <c r="J255" s="330">
        <f t="shared" si="12"/>
        <v>0.99371101646185178</v>
      </c>
    </row>
    <row r="256" spans="1:10" s="49" customFormat="1" ht="12.5">
      <c r="A256" s="262">
        <v>4</v>
      </c>
      <c r="B256" s="261">
        <v>1</v>
      </c>
      <c r="C256" s="56">
        <v>2.2000000000000002</v>
      </c>
      <c r="D256" s="261">
        <f t="shared" si="11"/>
        <v>2.1092000330000003E-2</v>
      </c>
      <c r="E256" s="261">
        <v>1.1000000000000001</v>
      </c>
      <c r="F256" s="327">
        <v>1.07</v>
      </c>
      <c r="G256" s="262">
        <f t="shared" si="10"/>
        <v>2.4825284388410005E-2</v>
      </c>
      <c r="I256" s="329">
        <v>350</v>
      </c>
      <c r="J256" s="330">
        <f t="shared" si="12"/>
        <v>0.99318264340392903</v>
      </c>
    </row>
    <row r="257" spans="1:10" s="49" customFormat="1" ht="12.5">
      <c r="A257" s="262">
        <v>4</v>
      </c>
      <c r="B257" s="261">
        <v>1</v>
      </c>
      <c r="C257" s="56">
        <v>2.2999999999999998</v>
      </c>
      <c r="D257" s="261">
        <f t="shared" si="11"/>
        <v>2.1092000330000003E-2</v>
      </c>
      <c r="E257" s="261">
        <v>1.1000000000000001</v>
      </c>
      <c r="F257" s="327">
        <v>1.06</v>
      </c>
      <c r="G257" s="262">
        <f t="shared" si="10"/>
        <v>2.4593272384780006E-2</v>
      </c>
      <c r="I257" s="329">
        <v>350</v>
      </c>
      <c r="J257" s="330">
        <f t="shared" si="12"/>
        <v>0.99261020885941154</v>
      </c>
    </row>
    <row r="258" spans="1:10" s="49" customFormat="1" ht="12.5">
      <c r="A258" s="262">
        <v>4</v>
      </c>
      <c r="B258" s="261">
        <v>1</v>
      </c>
      <c r="C258" s="56">
        <v>2.4</v>
      </c>
      <c r="D258" s="261">
        <f t="shared" si="11"/>
        <v>2.1092000330000003E-2</v>
      </c>
      <c r="E258" s="261">
        <v>1.1000000000000001</v>
      </c>
      <c r="F258" s="327">
        <v>1.05</v>
      </c>
      <c r="G258" s="262">
        <f t="shared" si="10"/>
        <v>2.4361260381150003E-2</v>
      </c>
      <c r="I258" s="329">
        <v>350</v>
      </c>
      <c r="J258" s="330">
        <f t="shared" si="12"/>
        <v>0.99199009621692147</v>
      </c>
    </row>
    <row r="259" spans="1:10" s="49" customFormat="1" ht="12.5">
      <c r="A259" s="262">
        <v>4</v>
      </c>
      <c r="B259" s="261">
        <v>1</v>
      </c>
      <c r="C259" s="56">
        <v>3.1</v>
      </c>
      <c r="D259" s="261">
        <f t="shared" si="11"/>
        <v>2.1092000330000003E-2</v>
      </c>
      <c r="E259" s="261">
        <v>1.1000000000000001</v>
      </c>
      <c r="F259" s="327">
        <v>1.02</v>
      </c>
      <c r="G259" s="262">
        <f t="shared" si="10"/>
        <v>2.3665224370260005E-2</v>
      </c>
      <c r="I259" s="329">
        <v>350</v>
      </c>
      <c r="J259" s="330">
        <f t="shared" si="12"/>
        <v>0.98980309484183404</v>
      </c>
    </row>
    <row r="260" spans="1:10" s="49" customFormat="1" ht="12.5">
      <c r="A260" s="262">
        <v>4</v>
      </c>
      <c r="B260" s="261">
        <v>1</v>
      </c>
      <c r="C260" s="56">
        <v>3.2</v>
      </c>
      <c r="D260" s="261">
        <f t="shared" si="11"/>
        <v>2.1092000330000003E-2</v>
      </c>
      <c r="E260" s="261">
        <v>1.1000000000000001</v>
      </c>
      <c r="F260" s="327">
        <v>1.0249999999999999</v>
      </c>
      <c r="G260" s="262">
        <f t="shared" si="10"/>
        <v>2.3781230372075E-2</v>
      </c>
      <c r="I260" s="329">
        <v>350</v>
      </c>
      <c r="J260" s="330">
        <f t="shared" si="12"/>
        <v>0.99020484413971555</v>
      </c>
    </row>
    <row r="261" spans="1:10" s="49" customFormat="1" ht="12.5">
      <c r="A261" s="262">
        <v>4</v>
      </c>
      <c r="B261" s="261">
        <v>1</v>
      </c>
      <c r="C261" s="56">
        <v>3.3</v>
      </c>
      <c r="D261" s="261">
        <f t="shared" si="11"/>
        <v>2.1092000330000003E-2</v>
      </c>
      <c r="E261" s="261">
        <v>1.1000000000000001</v>
      </c>
      <c r="F261" s="327">
        <v>1.03</v>
      </c>
      <c r="G261" s="262">
        <f t="shared" si="10"/>
        <v>2.3897236373890005E-2</v>
      </c>
      <c r="I261" s="329">
        <v>350</v>
      </c>
      <c r="J261" s="330">
        <f t="shared" si="12"/>
        <v>0.9905909153273238</v>
      </c>
    </row>
    <row r="262" spans="1:10" s="49" customFormat="1" ht="12.5">
      <c r="A262" s="262">
        <v>4</v>
      </c>
      <c r="B262" s="261">
        <v>1</v>
      </c>
      <c r="C262" s="56">
        <v>3.4</v>
      </c>
      <c r="D262" s="261">
        <f t="shared" si="11"/>
        <v>2.1092000330000003E-2</v>
      </c>
      <c r="E262" s="261">
        <v>1.1000000000000001</v>
      </c>
      <c r="F262" s="327">
        <v>1.0349999999999999</v>
      </c>
      <c r="G262" s="262">
        <f t="shared" si="10"/>
        <v>2.4013242375705002E-2</v>
      </c>
      <c r="I262" s="329">
        <v>350</v>
      </c>
      <c r="J262" s="330">
        <f t="shared" si="12"/>
        <v>0.9909619086027629</v>
      </c>
    </row>
    <row r="263" spans="1:10" s="49" customFormat="1" ht="12.5">
      <c r="A263" s="262">
        <v>4</v>
      </c>
      <c r="B263" s="261">
        <v>1</v>
      </c>
      <c r="C263" s="56">
        <v>4.0999999999999996</v>
      </c>
      <c r="D263" s="261">
        <f t="shared" si="11"/>
        <v>2.1092000330000003E-2</v>
      </c>
      <c r="E263" s="261">
        <v>1.1000000000000001</v>
      </c>
      <c r="F263" s="327">
        <v>1.1200000000000001</v>
      </c>
      <c r="G263" s="262">
        <f t="shared" si="10"/>
        <v>2.5985344406560005E-2</v>
      </c>
      <c r="I263" s="329">
        <v>350</v>
      </c>
      <c r="J263" s="330">
        <f t="shared" si="12"/>
        <v>0.99544726403071071</v>
      </c>
    </row>
    <row r="264" spans="1:10" s="49" customFormat="1" ht="12.5">
      <c r="A264" s="262">
        <v>4</v>
      </c>
      <c r="B264" s="261">
        <v>1</v>
      </c>
      <c r="C264" s="56">
        <v>4.2</v>
      </c>
      <c r="D264" s="261">
        <f t="shared" si="11"/>
        <v>2.1092000330000003E-2</v>
      </c>
      <c r="E264" s="261">
        <v>1.1000000000000001</v>
      </c>
      <c r="F264" s="327">
        <v>1.1000000000000001</v>
      </c>
      <c r="G264" s="262">
        <f t="shared" si="10"/>
        <v>2.5521320399300006E-2</v>
      </c>
      <c r="I264" s="329">
        <v>350</v>
      </c>
      <c r="J264" s="330">
        <f t="shared" si="12"/>
        <v>0.99464872817588312</v>
      </c>
    </row>
    <row r="265" spans="1:10" s="49" customFormat="1" ht="12.5">
      <c r="A265" s="262">
        <v>4</v>
      </c>
      <c r="B265" s="261">
        <v>1</v>
      </c>
      <c r="C265" s="191">
        <v>4.3</v>
      </c>
      <c r="D265" s="261">
        <f t="shared" si="11"/>
        <v>2.1092000330000003E-2</v>
      </c>
      <c r="E265" s="261">
        <v>1.1000000000000001</v>
      </c>
      <c r="F265" s="327">
        <v>1.08</v>
      </c>
      <c r="G265" s="262">
        <f t="shared" si="10"/>
        <v>2.5057296392040004E-2</v>
      </c>
      <c r="I265" s="329">
        <v>350</v>
      </c>
      <c r="J265" s="330">
        <f t="shared" si="12"/>
        <v>0.99371101646185178</v>
      </c>
    </row>
    <row r="266" spans="1:10" s="49" customFormat="1" ht="12.5">
      <c r="A266" s="262">
        <v>4</v>
      </c>
      <c r="B266" s="261">
        <v>1</v>
      </c>
      <c r="C266" s="191">
        <v>4.4000000000000004</v>
      </c>
      <c r="D266" s="261">
        <f t="shared" si="11"/>
        <v>2.1092000330000003E-2</v>
      </c>
      <c r="E266" s="261">
        <v>1.1000000000000001</v>
      </c>
      <c r="F266" s="327">
        <v>1.06</v>
      </c>
      <c r="G266" s="262">
        <f t="shared" si="10"/>
        <v>2.4593272384780006E-2</v>
      </c>
      <c r="I266" s="329">
        <v>350</v>
      </c>
      <c r="J266" s="330">
        <f t="shared" si="12"/>
        <v>0.99261020885941154</v>
      </c>
    </row>
    <row r="267" spans="1:10" s="49" customFormat="1" ht="12.5">
      <c r="A267" s="262">
        <v>4</v>
      </c>
      <c r="B267" s="261">
        <v>2</v>
      </c>
      <c r="C267" s="56">
        <v>1</v>
      </c>
      <c r="D267" s="261">
        <f t="shared" si="11"/>
        <v>2.128980032E-2</v>
      </c>
      <c r="E267" s="261">
        <v>1.0249999999999999</v>
      </c>
      <c r="F267" s="327">
        <v>1</v>
      </c>
      <c r="G267" s="262">
        <f t="shared" si="10"/>
        <v>2.1822045327999997E-2</v>
      </c>
      <c r="I267" s="329">
        <v>350</v>
      </c>
      <c r="J267" s="330">
        <f t="shared" si="12"/>
        <v>0.98074060677655772</v>
      </c>
    </row>
    <row r="268" spans="1:10" s="49" customFormat="1" ht="12.5">
      <c r="A268" s="262">
        <v>4</v>
      </c>
      <c r="B268" s="261">
        <v>2</v>
      </c>
      <c r="C268" s="56">
        <v>2.1</v>
      </c>
      <c r="D268" s="261">
        <f t="shared" si="11"/>
        <v>2.128980032E-2</v>
      </c>
      <c r="E268" s="261">
        <v>1.0249999999999999</v>
      </c>
      <c r="F268" s="327">
        <v>1.08</v>
      </c>
      <c r="G268" s="262">
        <f t="shared" si="10"/>
        <v>2.3567808954239999E-2</v>
      </c>
      <c r="I268" s="329">
        <v>350</v>
      </c>
      <c r="J268" s="330">
        <f t="shared" si="12"/>
        <v>0.98945316247701276</v>
      </c>
    </row>
    <row r="269" spans="1:10" s="49" customFormat="1" ht="12.5">
      <c r="A269" s="262">
        <v>4</v>
      </c>
      <c r="B269" s="261">
        <v>2</v>
      </c>
      <c r="C269" s="56">
        <v>2.2000000000000002</v>
      </c>
      <c r="D269" s="261">
        <f t="shared" si="11"/>
        <v>2.128980032E-2</v>
      </c>
      <c r="E269" s="261">
        <v>1.0249999999999999</v>
      </c>
      <c r="F269" s="327">
        <v>1.07</v>
      </c>
      <c r="G269" s="262">
        <f t="shared" si="10"/>
        <v>2.3349588500959997E-2</v>
      </c>
      <c r="I269" s="329">
        <v>350</v>
      </c>
      <c r="J269" s="330">
        <f t="shared" si="12"/>
        <v>0.98862558579818316</v>
      </c>
    </row>
    <row r="270" spans="1:10" s="49" customFormat="1" ht="12.5">
      <c r="A270" s="262">
        <v>4</v>
      </c>
      <c r="B270" s="261">
        <v>2</v>
      </c>
      <c r="C270" s="56">
        <v>2.2999999999999998</v>
      </c>
      <c r="D270" s="261">
        <f t="shared" si="11"/>
        <v>2.128980032E-2</v>
      </c>
      <c r="E270" s="261">
        <v>1.0249999999999999</v>
      </c>
      <c r="F270" s="327">
        <v>1.06</v>
      </c>
      <c r="G270" s="262">
        <f t="shared" si="10"/>
        <v>2.3131368047679998E-2</v>
      </c>
      <c r="I270" s="329">
        <v>350</v>
      </c>
      <c r="J270" s="330">
        <f t="shared" si="12"/>
        <v>0.98773387683801994</v>
      </c>
    </row>
    <row r="271" spans="1:10" s="49" customFormat="1" ht="12.5">
      <c r="A271" s="262">
        <v>4</v>
      </c>
      <c r="B271" s="261">
        <v>2</v>
      </c>
      <c r="C271" s="56">
        <v>2.4</v>
      </c>
      <c r="D271" s="261">
        <f t="shared" si="11"/>
        <v>2.128980032E-2</v>
      </c>
      <c r="E271" s="261">
        <v>1.0249999999999999</v>
      </c>
      <c r="F271" s="327">
        <v>1.05</v>
      </c>
      <c r="G271" s="262">
        <f t="shared" si="10"/>
        <v>2.2913147594399996E-2</v>
      </c>
      <c r="I271" s="329">
        <v>350</v>
      </c>
      <c r="J271" s="330">
        <f t="shared" si="12"/>
        <v>0.9867731967091159</v>
      </c>
    </row>
    <row r="272" spans="1:10" s="49" customFormat="1" ht="12.5">
      <c r="A272" s="262">
        <v>4</v>
      </c>
      <c r="B272" s="261">
        <v>2</v>
      </c>
      <c r="C272" s="56">
        <v>3.1</v>
      </c>
      <c r="D272" s="261">
        <f t="shared" si="11"/>
        <v>2.128980032E-2</v>
      </c>
      <c r="E272" s="261">
        <v>1.0249999999999999</v>
      </c>
      <c r="F272" s="327">
        <v>1.02</v>
      </c>
      <c r="G272" s="262">
        <f t="shared" si="10"/>
        <v>2.2258486234559997E-2</v>
      </c>
      <c r="I272" s="329">
        <v>350</v>
      </c>
      <c r="J272" s="330">
        <f t="shared" si="12"/>
        <v>0.98342365652358799</v>
      </c>
    </row>
    <row r="273" spans="1:10" s="49" customFormat="1" ht="12.5">
      <c r="A273" s="262">
        <v>4</v>
      </c>
      <c r="B273" s="261">
        <v>2</v>
      </c>
      <c r="C273" s="56">
        <v>3.2</v>
      </c>
      <c r="D273" s="261">
        <f t="shared" si="11"/>
        <v>2.128980032E-2</v>
      </c>
      <c r="E273" s="261">
        <v>1.0249999999999999</v>
      </c>
      <c r="F273" s="327">
        <v>1.0249999999999999</v>
      </c>
      <c r="G273" s="262">
        <f t="shared" si="10"/>
        <v>2.2367596461199995E-2</v>
      </c>
      <c r="I273" s="329">
        <v>350</v>
      </c>
      <c r="J273" s="330">
        <f t="shared" si="12"/>
        <v>0.98403483289584626</v>
      </c>
    </row>
    <row r="274" spans="1:10" s="49" customFormat="1" ht="12.5">
      <c r="A274" s="262">
        <v>4</v>
      </c>
      <c r="B274" s="261">
        <v>2</v>
      </c>
      <c r="C274" s="56">
        <v>3.3</v>
      </c>
      <c r="D274" s="261">
        <f t="shared" si="11"/>
        <v>2.128980032E-2</v>
      </c>
      <c r="E274" s="261">
        <v>1.0249999999999999</v>
      </c>
      <c r="F274" s="327">
        <v>1.03</v>
      </c>
      <c r="G274" s="262">
        <f t="shared" si="10"/>
        <v>2.2476706687839996E-2</v>
      </c>
      <c r="I274" s="329">
        <v>350</v>
      </c>
      <c r="J274" s="330">
        <f t="shared" si="12"/>
        <v>0.98462382728425268</v>
      </c>
    </row>
    <row r="275" spans="1:10" s="49" customFormat="1" ht="12.5">
      <c r="A275" s="262">
        <v>4</v>
      </c>
      <c r="B275" s="261">
        <v>2</v>
      </c>
      <c r="C275" s="56">
        <v>3.4</v>
      </c>
      <c r="D275" s="261">
        <f t="shared" si="11"/>
        <v>2.128980032E-2</v>
      </c>
      <c r="E275" s="261">
        <v>1.0249999999999999</v>
      </c>
      <c r="F275" s="327">
        <v>1.0349999999999999</v>
      </c>
      <c r="G275" s="262">
        <f t="shared" si="10"/>
        <v>2.2585816914479997E-2</v>
      </c>
      <c r="I275" s="329">
        <v>350</v>
      </c>
      <c r="J275" s="330">
        <f t="shared" si="12"/>
        <v>0.98519141922012621</v>
      </c>
    </row>
    <row r="276" spans="1:10" s="49" customFormat="1" ht="12.5">
      <c r="A276" s="262">
        <v>4</v>
      </c>
      <c r="B276" s="261">
        <v>2</v>
      </c>
      <c r="C276" s="56">
        <v>4.0999999999999996</v>
      </c>
      <c r="D276" s="261">
        <f t="shared" si="11"/>
        <v>2.128980032E-2</v>
      </c>
      <c r="E276" s="261">
        <v>1.0249999999999999</v>
      </c>
      <c r="F276" s="327">
        <v>1.1200000000000001</v>
      </c>
      <c r="G276" s="262">
        <f t="shared" si="10"/>
        <v>2.4440690767359999E-2</v>
      </c>
      <c r="I276" s="329">
        <v>350</v>
      </c>
      <c r="J276" s="330">
        <f t="shared" si="12"/>
        <v>0.99220799855783248</v>
      </c>
    </row>
    <row r="277" spans="1:10" s="49" customFormat="1" ht="12.5">
      <c r="A277" s="262">
        <v>4</v>
      </c>
      <c r="B277" s="261">
        <v>2</v>
      </c>
      <c r="C277" s="56">
        <v>4.2</v>
      </c>
      <c r="D277" s="261">
        <f t="shared" si="11"/>
        <v>2.128980032E-2</v>
      </c>
      <c r="E277" s="261">
        <v>1.0249999999999999</v>
      </c>
      <c r="F277" s="327">
        <v>1.1000000000000001</v>
      </c>
      <c r="G277" s="262">
        <f t="shared" si="10"/>
        <v>2.4004249860799999E-2</v>
      </c>
      <c r="I277" s="329">
        <v>350</v>
      </c>
      <c r="J277" s="330">
        <f t="shared" si="12"/>
        <v>0.99093367578977931</v>
      </c>
    </row>
    <row r="278" spans="1:10" s="49" customFormat="1" ht="12.5">
      <c r="A278" s="262">
        <v>4</v>
      </c>
      <c r="B278" s="261">
        <v>2</v>
      </c>
      <c r="C278" s="191">
        <v>4.3</v>
      </c>
      <c r="D278" s="261">
        <f t="shared" si="11"/>
        <v>2.128980032E-2</v>
      </c>
      <c r="E278" s="261">
        <v>1.0249999999999999</v>
      </c>
      <c r="F278" s="327">
        <v>1.08</v>
      </c>
      <c r="G278" s="262">
        <f t="shared" si="10"/>
        <v>2.3567808954239999E-2</v>
      </c>
      <c r="I278" s="329">
        <v>350</v>
      </c>
      <c r="J278" s="330">
        <f t="shared" si="12"/>
        <v>0.98945316247701276</v>
      </c>
    </row>
    <row r="279" spans="1:10" s="49" customFormat="1" ht="12.5">
      <c r="A279" s="262">
        <v>4</v>
      </c>
      <c r="B279" s="261">
        <v>2</v>
      </c>
      <c r="C279" s="191">
        <v>4.4000000000000004</v>
      </c>
      <c r="D279" s="261">
        <f t="shared" si="11"/>
        <v>2.128980032E-2</v>
      </c>
      <c r="E279" s="261">
        <v>1.0249999999999999</v>
      </c>
      <c r="F279" s="327">
        <v>1.06</v>
      </c>
      <c r="G279" s="262">
        <f t="shared" si="10"/>
        <v>2.3131368047679998E-2</v>
      </c>
      <c r="I279" s="329">
        <v>350</v>
      </c>
      <c r="J279" s="330">
        <f t="shared" si="12"/>
        <v>0.98773387683801994</v>
      </c>
    </row>
    <row r="280" spans="1:10" s="49" customFormat="1" ht="12.5">
      <c r="A280" s="262">
        <v>4</v>
      </c>
      <c r="B280" s="261">
        <v>3</v>
      </c>
      <c r="C280" s="56">
        <v>1</v>
      </c>
      <c r="D280" s="261">
        <f t="shared" si="11"/>
        <v>1.9910266970000003E-2</v>
      </c>
      <c r="E280" s="261">
        <v>1</v>
      </c>
      <c r="F280" s="327">
        <v>1</v>
      </c>
      <c r="G280" s="262">
        <f t="shared" si="10"/>
        <v>1.9910266970000003E-2</v>
      </c>
      <c r="I280" s="329">
        <v>350</v>
      </c>
      <c r="J280" s="330">
        <f t="shared" si="12"/>
        <v>0.96307301628328879</v>
      </c>
    </row>
    <row r="281" spans="1:10" s="49" customFormat="1" ht="12.5">
      <c r="A281" s="262">
        <v>4</v>
      </c>
      <c r="B281" s="261">
        <v>3</v>
      </c>
      <c r="C281" s="56">
        <v>2.1</v>
      </c>
      <c r="D281" s="261">
        <f t="shared" si="11"/>
        <v>1.9910266970000003E-2</v>
      </c>
      <c r="E281" s="261">
        <v>1</v>
      </c>
      <c r="F281" s="327">
        <v>1.08</v>
      </c>
      <c r="G281" s="262">
        <f t="shared" si="10"/>
        <v>2.1503088327600006E-2</v>
      </c>
      <c r="I281" s="329">
        <v>350</v>
      </c>
      <c r="J281" s="330">
        <f t="shared" si="12"/>
        <v>0.97851485403102423</v>
      </c>
    </row>
    <row r="282" spans="1:10" s="49" customFormat="1" ht="12.5">
      <c r="A282" s="262">
        <v>4</v>
      </c>
      <c r="B282" s="261">
        <v>3</v>
      </c>
      <c r="C282" s="56">
        <v>2.2000000000000002</v>
      </c>
      <c r="D282" s="261">
        <f t="shared" si="11"/>
        <v>1.9910266970000003E-2</v>
      </c>
      <c r="E282" s="261">
        <v>1</v>
      </c>
      <c r="F282" s="327">
        <v>1.07</v>
      </c>
      <c r="G282" s="262">
        <f t="shared" si="10"/>
        <v>2.1303985657900006E-2</v>
      </c>
      <c r="I282" s="329">
        <v>350</v>
      </c>
      <c r="J282" s="330">
        <f t="shared" si="12"/>
        <v>0.97699990529406211</v>
      </c>
    </row>
    <row r="283" spans="1:10" s="49" customFormat="1" ht="12.5">
      <c r="A283" s="262">
        <v>4</v>
      </c>
      <c r="B283" s="261">
        <v>3</v>
      </c>
      <c r="C283" s="56">
        <v>2.2999999999999998</v>
      </c>
      <c r="D283" s="261">
        <f t="shared" si="11"/>
        <v>1.9910266970000003E-2</v>
      </c>
      <c r="E283" s="261">
        <v>1</v>
      </c>
      <c r="F283" s="327">
        <v>1.06</v>
      </c>
      <c r="G283" s="262">
        <f t="shared" si="10"/>
        <v>2.1104882988200003E-2</v>
      </c>
      <c r="I283" s="329">
        <v>350</v>
      </c>
      <c r="J283" s="330">
        <f t="shared" si="12"/>
        <v>0.97538082292320349</v>
      </c>
    </row>
    <row r="284" spans="1:10" s="49" customFormat="1" ht="12.5">
      <c r="A284" s="262">
        <v>4</v>
      </c>
      <c r="B284" s="261">
        <v>3</v>
      </c>
      <c r="C284" s="56">
        <v>2.4</v>
      </c>
      <c r="D284" s="261">
        <f t="shared" si="11"/>
        <v>1.9910266970000003E-2</v>
      </c>
      <c r="E284" s="261">
        <v>1</v>
      </c>
      <c r="F284" s="327">
        <v>1.05</v>
      </c>
      <c r="G284" s="262">
        <f t="shared" si="10"/>
        <v>2.0905780318500003E-2</v>
      </c>
      <c r="I284" s="329">
        <v>350</v>
      </c>
      <c r="J284" s="330">
        <f t="shared" si="12"/>
        <v>0.97365083973802036</v>
      </c>
    </row>
    <row r="285" spans="1:10" s="49" customFormat="1" ht="12.5">
      <c r="A285" s="262">
        <v>4</v>
      </c>
      <c r="B285" s="261">
        <v>3</v>
      </c>
      <c r="C285" s="56">
        <v>3.1</v>
      </c>
      <c r="D285" s="261">
        <f t="shared" si="11"/>
        <v>1.9910266970000003E-2</v>
      </c>
      <c r="E285" s="261">
        <v>1</v>
      </c>
      <c r="F285" s="327">
        <v>1.02</v>
      </c>
      <c r="G285" s="262">
        <f t="shared" si="10"/>
        <v>2.0308472309400003E-2</v>
      </c>
      <c r="I285" s="329">
        <v>350</v>
      </c>
      <c r="J285" s="330">
        <f t="shared" si="12"/>
        <v>0.96772198679426236</v>
      </c>
    </row>
    <row r="286" spans="1:10" s="49" customFormat="1" ht="12.5">
      <c r="A286" s="262">
        <v>4</v>
      </c>
      <c r="B286" s="261">
        <v>3</v>
      </c>
      <c r="C286" s="56">
        <v>3.2</v>
      </c>
      <c r="D286" s="261">
        <f t="shared" si="11"/>
        <v>1.9910266970000003E-2</v>
      </c>
      <c r="E286" s="261">
        <v>1</v>
      </c>
      <c r="F286" s="327">
        <v>1.0249999999999999</v>
      </c>
      <c r="G286" s="262">
        <f t="shared" si="10"/>
        <v>2.0408023644250001E-2</v>
      </c>
      <c r="I286" s="329">
        <v>350</v>
      </c>
      <c r="J286" s="330">
        <f t="shared" si="12"/>
        <v>0.96879278772061694</v>
      </c>
    </row>
    <row r="287" spans="1:10" s="49" customFormat="1" ht="12.5">
      <c r="A287" s="262">
        <v>4</v>
      </c>
      <c r="B287" s="261">
        <v>3</v>
      </c>
      <c r="C287" s="56">
        <v>3.3</v>
      </c>
      <c r="D287" s="261">
        <f t="shared" si="11"/>
        <v>1.9910266970000003E-2</v>
      </c>
      <c r="E287" s="261">
        <v>1</v>
      </c>
      <c r="F287" s="327">
        <v>1.03</v>
      </c>
      <c r="G287" s="262">
        <f t="shared" si="10"/>
        <v>2.0507574979100003E-2</v>
      </c>
      <c r="I287" s="329">
        <v>350</v>
      </c>
      <c r="J287" s="330">
        <f t="shared" si="12"/>
        <v>0.96982917307049821</v>
      </c>
    </row>
    <row r="288" spans="1:10" s="49" customFormat="1" ht="12.5">
      <c r="A288" s="262">
        <v>4</v>
      </c>
      <c r="B288" s="261">
        <v>3</v>
      </c>
      <c r="C288" s="56">
        <v>3.4</v>
      </c>
      <c r="D288" s="261">
        <f t="shared" si="11"/>
        <v>1.9910266970000003E-2</v>
      </c>
      <c r="E288" s="261">
        <v>1</v>
      </c>
      <c r="F288" s="327">
        <v>1.0349999999999999</v>
      </c>
      <c r="G288" s="262">
        <f t="shared" si="10"/>
        <v>2.0607126313950001E-2</v>
      </c>
      <c r="I288" s="329">
        <v>350</v>
      </c>
      <c r="J288" s="330">
        <f t="shared" si="12"/>
        <v>0.97083217650859643</v>
      </c>
    </row>
    <row r="289" spans="1:10" s="49" customFormat="1" ht="12.5">
      <c r="A289" s="262">
        <v>4</v>
      </c>
      <c r="B289" s="261">
        <v>3</v>
      </c>
      <c r="C289" s="56">
        <v>4.0999999999999996</v>
      </c>
      <c r="D289" s="261">
        <f t="shared" si="11"/>
        <v>1.9910266970000003E-2</v>
      </c>
      <c r="E289" s="261">
        <v>1</v>
      </c>
      <c r="F289" s="327">
        <v>1.1200000000000001</v>
      </c>
      <c r="G289" s="262">
        <f t="shared" si="10"/>
        <v>2.2299499006400006E-2</v>
      </c>
      <c r="I289" s="329">
        <v>350</v>
      </c>
      <c r="J289" s="330">
        <f t="shared" si="12"/>
        <v>0.98365604033028764</v>
      </c>
    </row>
    <row r="290" spans="1:10" s="49" customFormat="1" ht="12.5">
      <c r="A290" s="262">
        <v>4</v>
      </c>
      <c r="B290" s="261">
        <v>3</v>
      </c>
      <c r="C290" s="56">
        <v>4.2</v>
      </c>
      <c r="D290" s="261">
        <f t="shared" si="11"/>
        <v>1.9910266970000003E-2</v>
      </c>
      <c r="E290" s="261">
        <v>1</v>
      </c>
      <c r="F290" s="327">
        <v>1.1000000000000001</v>
      </c>
      <c r="G290" s="262">
        <f t="shared" si="10"/>
        <v>2.1901293667000006E-2</v>
      </c>
      <c r="I290" s="329">
        <v>350</v>
      </c>
      <c r="J290" s="330">
        <f t="shared" si="12"/>
        <v>0.98125758799695584</v>
      </c>
    </row>
    <row r="291" spans="1:10" s="49" customFormat="1" ht="12.5">
      <c r="A291" s="262">
        <v>4</v>
      </c>
      <c r="B291" s="261">
        <v>3</v>
      </c>
      <c r="C291" s="191">
        <v>4.3</v>
      </c>
      <c r="D291" s="261">
        <f t="shared" si="11"/>
        <v>1.9910266970000003E-2</v>
      </c>
      <c r="E291" s="261">
        <v>1</v>
      </c>
      <c r="F291" s="327">
        <v>1.08</v>
      </c>
      <c r="G291" s="262">
        <f t="shared" si="10"/>
        <v>2.1503088327600006E-2</v>
      </c>
      <c r="I291" s="329">
        <v>350</v>
      </c>
      <c r="J291" s="330">
        <f t="shared" si="12"/>
        <v>0.97851485403102423</v>
      </c>
    </row>
    <row r="292" spans="1:10" s="49" customFormat="1" ht="12.5">
      <c r="A292" s="262">
        <v>4</v>
      </c>
      <c r="B292" s="261">
        <v>3</v>
      </c>
      <c r="C292" s="191">
        <v>4.4000000000000004</v>
      </c>
      <c r="D292" s="261">
        <f t="shared" si="11"/>
        <v>1.9910266970000003E-2</v>
      </c>
      <c r="E292" s="261">
        <v>1</v>
      </c>
      <c r="F292" s="327">
        <v>1.06</v>
      </c>
      <c r="G292" s="262">
        <f t="shared" si="10"/>
        <v>2.1104882988200003E-2</v>
      </c>
      <c r="I292" s="329">
        <v>350</v>
      </c>
      <c r="J292" s="330">
        <f t="shared" si="12"/>
        <v>0.97538082292320349</v>
      </c>
    </row>
    <row r="293" spans="1:10" s="49" customFormat="1" ht="12.5">
      <c r="A293" s="262">
        <v>4</v>
      </c>
      <c r="B293" s="261">
        <v>4</v>
      </c>
      <c r="C293" s="56">
        <v>1</v>
      </c>
      <c r="D293" s="261">
        <f t="shared" si="11"/>
        <v>1.6953400280000003E-2</v>
      </c>
      <c r="E293" s="261">
        <v>0.98</v>
      </c>
      <c r="F293" s="327">
        <v>1</v>
      </c>
      <c r="G293" s="262">
        <f t="shared" si="10"/>
        <v>1.6614332274400002E-2</v>
      </c>
      <c r="I293" s="329">
        <v>350</v>
      </c>
      <c r="J293" s="330">
        <f t="shared" si="12"/>
        <v>0.89164058848562688</v>
      </c>
    </row>
    <row r="294" spans="1:10" s="49" customFormat="1" ht="12.5">
      <c r="A294" s="262">
        <v>4</v>
      </c>
      <c r="B294" s="261">
        <v>4</v>
      </c>
      <c r="C294" s="56">
        <v>2.1</v>
      </c>
      <c r="D294" s="261">
        <f t="shared" si="11"/>
        <v>1.6953400280000003E-2</v>
      </c>
      <c r="E294" s="261">
        <v>0.98</v>
      </c>
      <c r="F294" s="327">
        <v>1.08</v>
      </c>
      <c r="G294" s="262">
        <f t="shared" si="10"/>
        <v>1.7943478856352002E-2</v>
      </c>
      <c r="I294" s="329">
        <v>350</v>
      </c>
      <c r="J294" s="330">
        <f t="shared" si="12"/>
        <v>0.92909109994272165</v>
      </c>
    </row>
    <row r="295" spans="1:10" s="49" customFormat="1" ht="12.5">
      <c r="A295" s="262">
        <v>4</v>
      </c>
      <c r="B295" s="261">
        <v>4</v>
      </c>
      <c r="C295" s="56">
        <v>2.2000000000000002</v>
      </c>
      <c r="D295" s="261">
        <f t="shared" si="11"/>
        <v>1.6953400280000003E-2</v>
      </c>
      <c r="E295" s="261">
        <v>0.98</v>
      </c>
      <c r="F295" s="327">
        <v>1.07</v>
      </c>
      <c r="G295" s="262">
        <f t="shared" si="10"/>
        <v>1.7777335533608003E-2</v>
      </c>
      <c r="I295" s="329">
        <v>350</v>
      </c>
      <c r="J295" s="330">
        <f t="shared" si="12"/>
        <v>0.92516321843489491</v>
      </c>
    </row>
    <row r="296" spans="1:10" s="49" customFormat="1" ht="12.5">
      <c r="A296" s="262">
        <v>4</v>
      </c>
      <c r="B296" s="261">
        <v>4</v>
      </c>
      <c r="C296" s="56">
        <v>2.2999999999999998</v>
      </c>
      <c r="D296" s="261">
        <f t="shared" si="11"/>
        <v>1.6953400280000003E-2</v>
      </c>
      <c r="E296" s="261">
        <v>0.98</v>
      </c>
      <c r="F296" s="327">
        <v>1.06</v>
      </c>
      <c r="G296" s="262">
        <f t="shared" si="10"/>
        <v>1.7611192210864001E-2</v>
      </c>
      <c r="I296" s="329">
        <v>350</v>
      </c>
      <c r="J296" s="330">
        <f t="shared" si="12"/>
        <v>0.92103625048005033</v>
      </c>
    </row>
    <row r="297" spans="1:10" s="49" customFormat="1" ht="12.5">
      <c r="A297" s="262">
        <v>4</v>
      </c>
      <c r="B297" s="261">
        <v>4</v>
      </c>
      <c r="C297" s="56">
        <v>2.4</v>
      </c>
      <c r="D297" s="261">
        <f t="shared" si="11"/>
        <v>1.6953400280000003E-2</v>
      </c>
      <c r="E297" s="261">
        <v>0.98</v>
      </c>
      <c r="F297" s="327">
        <v>1.05</v>
      </c>
      <c r="G297" s="262">
        <f t="shared" si="10"/>
        <v>1.7445048888120002E-2</v>
      </c>
      <c r="I297" s="329">
        <v>350</v>
      </c>
      <c r="J297" s="330">
        <f t="shared" si="12"/>
        <v>0.91670218667503089</v>
      </c>
    </row>
    <row r="298" spans="1:10" s="49" customFormat="1" ht="12.5">
      <c r="A298" s="262">
        <v>4</v>
      </c>
      <c r="B298" s="261">
        <v>4</v>
      </c>
      <c r="C298" s="56">
        <v>3.1</v>
      </c>
      <c r="D298" s="261">
        <f t="shared" si="11"/>
        <v>1.6953400280000003E-2</v>
      </c>
      <c r="E298" s="261">
        <v>0.98</v>
      </c>
      <c r="F298" s="327">
        <v>1.02</v>
      </c>
      <c r="G298" s="262">
        <f t="shared" si="10"/>
        <v>1.6946618919888003E-2</v>
      </c>
      <c r="I298" s="329">
        <v>350</v>
      </c>
      <c r="J298" s="330">
        <f t="shared" si="12"/>
        <v>0.90237617120238478</v>
      </c>
    </row>
    <row r="299" spans="1:10" s="49" customFormat="1" ht="12.5">
      <c r="A299" s="262">
        <v>4</v>
      </c>
      <c r="B299" s="261">
        <v>4</v>
      </c>
      <c r="C299" s="56">
        <v>3.2</v>
      </c>
      <c r="D299" s="261">
        <f t="shared" si="11"/>
        <v>1.6953400280000003E-2</v>
      </c>
      <c r="E299" s="261">
        <v>0.98</v>
      </c>
      <c r="F299" s="327">
        <v>1.0249999999999999</v>
      </c>
      <c r="G299" s="262">
        <f t="shared" si="10"/>
        <v>1.7029690581259999E-2</v>
      </c>
      <c r="I299" s="329">
        <v>350</v>
      </c>
      <c r="J299" s="330">
        <f t="shared" si="12"/>
        <v>0.90490769948674166</v>
      </c>
    </row>
    <row r="300" spans="1:10" s="49" customFormat="1" ht="12.5">
      <c r="A300" s="262">
        <v>4</v>
      </c>
      <c r="B300" s="261">
        <v>4</v>
      </c>
      <c r="C300" s="56">
        <v>3.3</v>
      </c>
      <c r="D300" s="261">
        <f t="shared" si="11"/>
        <v>1.6953400280000003E-2</v>
      </c>
      <c r="E300" s="261">
        <v>0.98</v>
      </c>
      <c r="F300" s="327">
        <v>1.03</v>
      </c>
      <c r="G300" s="262">
        <f t="shared" si="10"/>
        <v>1.7112762242632001E-2</v>
      </c>
      <c r="I300" s="329">
        <v>350</v>
      </c>
      <c r="J300" s="330">
        <f t="shared" si="12"/>
        <v>0.90738031946283637</v>
      </c>
    </row>
    <row r="301" spans="1:10" s="49" customFormat="1" ht="12.5">
      <c r="A301" s="262">
        <v>4</v>
      </c>
      <c r="B301" s="261">
        <v>4</v>
      </c>
      <c r="C301" s="56">
        <v>3.4</v>
      </c>
      <c r="D301" s="261">
        <f t="shared" si="11"/>
        <v>1.6953400280000003E-2</v>
      </c>
      <c r="E301" s="261">
        <v>0.98</v>
      </c>
      <c r="F301" s="327">
        <v>1.0349999999999999</v>
      </c>
      <c r="G301" s="262">
        <f t="shared" si="10"/>
        <v>1.7195833904004001E-2</v>
      </c>
      <c r="I301" s="329">
        <v>350</v>
      </c>
      <c r="J301" s="330">
        <f t="shared" si="12"/>
        <v>0.90979505467133603</v>
      </c>
    </row>
    <row r="302" spans="1:10" s="49" customFormat="1" ht="12.5">
      <c r="A302" s="262">
        <v>4</v>
      </c>
      <c r="B302" s="261">
        <v>4</v>
      </c>
      <c r="C302" s="56">
        <v>4.0999999999999996</v>
      </c>
      <c r="D302" s="261">
        <f t="shared" si="11"/>
        <v>1.6953400280000003E-2</v>
      </c>
      <c r="E302" s="261">
        <v>0.98</v>
      </c>
      <c r="F302" s="327">
        <v>1.1200000000000001</v>
      </c>
      <c r="G302" s="262">
        <f t="shared" si="10"/>
        <v>1.8608052147328004E-2</v>
      </c>
      <c r="I302" s="329">
        <v>350</v>
      </c>
      <c r="J302" s="330">
        <f t="shared" si="12"/>
        <v>0.94296755141654875</v>
      </c>
    </row>
    <row r="303" spans="1:10" s="49" customFormat="1" ht="12.5">
      <c r="A303" s="262">
        <v>4</v>
      </c>
      <c r="B303" s="261">
        <v>4</v>
      </c>
      <c r="C303" s="56">
        <v>4.2</v>
      </c>
      <c r="D303" s="261">
        <f t="shared" si="11"/>
        <v>1.6953400280000003E-2</v>
      </c>
      <c r="E303" s="261">
        <v>0.98</v>
      </c>
      <c r="F303" s="327">
        <v>1.1000000000000001</v>
      </c>
      <c r="G303" s="262">
        <f t="shared" si="10"/>
        <v>1.8275765501840003E-2</v>
      </c>
      <c r="I303" s="329">
        <v>350</v>
      </c>
      <c r="J303" s="330">
        <f t="shared" si="12"/>
        <v>0.93638105300974817</v>
      </c>
    </row>
    <row r="304" spans="1:10" s="49" customFormat="1" ht="12.5">
      <c r="A304" s="262">
        <v>4</v>
      </c>
      <c r="B304" s="261">
        <v>4</v>
      </c>
      <c r="C304" s="191">
        <v>4.3</v>
      </c>
      <c r="D304" s="261">
        <f t="shared" si="11"/>
        <v>1.6953400280000003E-2</v>
      </c>
      <c r="E304" s="261">
        <v>0.98</v>
      </c>
      <c r="F304" s="327">
        <v>1.08</v>
      </c>
      <c r="G304" s="262">
        <f t="shared" si="10"/>
        <v>1.7943478856352002E-2</v>
      </c>
      <c r="I304" s="329">
        <v>350</v>
      </c>
      <c r="J304" s="330">
        <f t="shared" si="12"/>
        <v>0.92909109994272165</v>
      </c>
    </row>
    <row r="305" spans="1:10" s="49" customFormat="1" ht="12.5">
      <c r="A305" s="262">
        <v>4</v>
      </c>
      <c r="B305" s="261">
        <v>4</v>
      </c>
      <c r="C305" s="191">
        <v>4.4000000000000004</v>
      </c>
      <c r="D305" s="261">
        <f t="shared" si="11"/>
        <v>1.6953400280000003E-2</v>
      </c>
      <c r="E305" s="261">
        <v>0.98</v>
      </c>
      <c r="F305" s="327">
        <v>1.06</v>
      </c>
      <c r="G305" s="262">
        <f t="shared" si="10"/>
        <v>1.7611192210864001E-2</v>
      </c>
      <c r="I305" s="329">
        <v>350</v>
      </c>
      <c r="J305" s="330">
        <f t="shared" si="12"/>
        <v>0.92103625048005033</v>
      </c>
    </row>
    <row r="306" spans="1:10" s="49" customFormat="1" ht="12.5">
      <c r="A306" s="262">
        <v>4</v>
      </c>
      <c r="B306" s="261">
        <v>5</v>
      </c>
      <c r="C306" s="56">
        <v>1</v>
      </c>
      <c r="D306" s="261">
        <f t="shared" si="11"/>
        <v>1.2419200249999998E-2</v>
      </c>
      <c r="E306" s="261">
        <v>0.95</v>
      </c>
      <c r="F306" s="327">
        <v>1</v>
      </c>
      <c r="G306" s="262">
        <f t="shared" si="10"/>
        <v>1.1798240237499997E-2</v>
      </c>
      <c r="I306" s="329">
        <v>350</v>
      </c>
      <c r="J306" s="330">
        <f t="shared" si="12"/>
        <v>0.60395630927460009</v>
      </c>
    </row>
    <row r="307" spans="1:10" s="49" customFormat="1" ht="12.5">
      <c r="A307" s="262">
        <v>4</v>
      </c>
      <c r="B307" s="261">
        <v>5</v>
      </c>
      <c r="C307" s="56">
        <v>2.1</v>
      </c>
      <c r="D307" s="261">
        <f t="shared" si="11"/>
        <v>1.2419200249999998E-2</v>
      </c>
      <c r="E307" s="261">
        <v>0.95</v>
      </c>
      <c r="F307" s="327">
        <v>1.08</v>
      </c>
      <c r="G307" s="262">
        <f t="shared" si="10"/>
        <v>1.2742099456499997E-2</v>
      </c>
      <c r="I307" s="329">
        <v>350</v>
      </c>
      <c r="J307" s="330">
        <f t="shared" si="12"/>
        <v>0.67968575810166165</v>
      </c>
    </row>
    <row r="308" spans="1:10" s="49" customFormat="1" ht="12.5">
      <c r="A308" s="262">
        <v>4</v>
      </c>
      <c r="B308" s="261">
        <v>5</v>
      </c>
      <c r="C308" s="56">
        <v>2.2000000000000002</v>
      </c>
      <c r="D308" s="261">
        <f t="shared" si="11"/>
        <v>1.2419200249999998E-2</v>
      </c>
      <c r="E308" s="261">
        <v>0.95</v>
      </c>
      <c r="F308" s="327">
        <v>1.07</v>
      </c>
      <c r="G308" s="262">
        <f t="shared" si="10"/>
        <v>1.2624117054124997E-2</v>
      </c>
      <c r="I308" s="329">
        <v>350</v>
      </c>
      <c r="J308" s="330">
        <f t="shared" si="12"/>
        <v>0.67062964217480692</v>
      </c>
    </row>
    <row r="309" spans="1:10" s="49" customFormat="1" ht="12.5">
      <c r="A309" s="262">
        <v>4</v>
      </c>
      <c r="B309" s="261">
        <v>5</v>
      </c>
      <c r="C309" s="56">
        <v>2.2999999999999998</v>
      </c>
      <c r="D309" s="261">
        <f t="shared" si="11"/>
        <v>1.2419200249999998E-2</v>
      </c>
      <c r="E309" s="261">
        <v>0.95</v>
      </c>
      <c r="F309" s="327">
        <v>1.06</v>
      </c>
      <c r="G309" s="262">
        <f t="shared" si="10"/>
        <v>1.2506134651749998E-2</v>
      </c>
      <c r="I309" s="329">
        <v>350</v>
      </c>
      <c r="J309" s="330">
        <f t="shared" si="12"/>
        <v>0.66144502112720349</v>
      </c>
    </row>
    <row r="310" spans="1:10" s="49" customFormat="1" ht="12.5">
      <c r="A310" s="262">
        <v>4</v>
      </c>
      <c r="B310" s="261">
        <v>5</v>
      </c>
      <c r="C310" s="56">
        <v>2.4</v>
      </c>
      <c r="D310" s="261">
        <f t="shared" si="11"/>
        <v>1.2419200249999998E-2</v>
      </c>
      <c r="E310" s="261">
        <v>0.95</v>
      </c>
      <c r="F310" s="327">
        <v>1.05</v>
      </c>
      <c r="G310" s="262">
        <f t="shared" si="10"/>
        <v>1.2388152249374998E-2</v>
      </c>
      <c r="I310" s="329">
        <v>350</v>
      </c>
      <c r="J310" s="330">
        <f t="shared" si="12"/>
        <v>0.65213713386719185</v>
      </c>
    </row>
    <row r="311" spans="1:10" s="49" customFormat="1" ht="12.5">
      <c r="A311" s="262">
        <v>4</v>
      </c>
      <c r="B311" s="261">
        <v>5</v>
      </c>
      <c r="C311" s="56">
        <v>3.1</v>
      </c>
      <c r="D311" s="261">
        <f t="shared" si="11"/>
        <v>1.2419200249999998E-2</v>
      </c>
      <c r="E311" s="261">
        <v>0.95</v>
      </c>
      <c r="F311" s="327">
        <v>1.02</v>
      </c>
      <c r="G311" s="262">
        <f t="shared" si="10"/>
        <v>1.2034205042249998E-2</v>
      </c>
      <c r="I311" s="329">
        <v>350</v>
      </c>
      <c r="J311" s="330">
        <f t="shared" si="12"/>
        <v>0.62353152332514894</v>
      </c>
    </row>
    <row r="312" spans="1:10" s="49" customFormat="1" ht="12.5">
      <c r="A312" s="262">
        <v>4</v>
      </c>
      <c r="B312" s="261">
        <v>5</v>
      </c>
      <c r="C312" s="56">
        <v>3.2</v>
      </c>
      <c r="D312" s="261">
        <f t="shared" si="11"/>
        <v>1.2419200249999998E-2</v>
      </c>
      <c r="E312" s="261">
        <v>0.95</v>
      </c>
      <c r="F312" s="327">
        <v>1.0249999999999999</v>
      </c>
      <c r="G312" s="262">
        <f t="shared" si="10"/>
        <v>1.2093196243437496E-2</v>
      </c>
      <c r="I312" s="329">
        <v>350</v>
      </c>
      <c r="J312" s="330">
        <f t="shared" si="12"/>
        <v>0.62836567918939301</v>
      </c>
    </row>
    <row r="313" spans="1:10" s="49" customFormat="1" ht="12.5">
      <c r="A313" s="262">
        <v>4</v>
      </c>
      <c r="B313" s="261">
        <v>5</v>
      </c>
      <c r="C313" s="56">
        <v>3.3</v>
      </c>
      <c r="D313" s="261">
        <f t="shared" si="11"/>
        <v>1.2419200249999998E-2</v>
      </c>
      <c r="E313" s="261">
        <v>0.95</v>
      </c>
      <c r="F313" s="327">
        <v>1.03</v>
      </c>
      <c r="G313" s="262">
        <f t="shared" si="10"/>
        <v>1.2152187444624997E-2</v>
      </c>
      <c r="I313" s="329">
        <v>350</v>
      </c>
      <c r="J313" s="330">
        <f t="shared" si="12"/>
        <v>0.63317427922589675</v>
      </c>
    </row>
    <row r="314" spans="1:10" s="49" customFormat="1" ht="12.5">
      <c r="A314" s="262">
        <v>4</v>
      </c>
      <c r="B314" s="261">
        <v>5</v>
      </c>
      <c r="C314" s="56">
        <v>3.4</v>
      </c>
      <c r="D314" s="261">
        <f t="shared" si="11"/>
        <v>1.2419200249999998E-2</v>
      </c>
      <c r="E314" s="261">
        <v>0.95</v>
      </c>
      <c r="F314" s="327">
        <v>1.0349999999999999</v>
      </c>
      <c r="G314" s="262">
        <f t="shared" si="10"/>
        <v>1.2211178645812495E-2</v>
      </c>
      <c r="I314" s="329">
        <v>350</v>
      </c>
      <c r="J314" s="330">
        <f t="shared" si="12"/>
        <v>0.63795650888227506</v>
      </c>
    </row>
    <row r="315" spans="1:10" s="49" customFormat="1" ht="12.5">
      <c r="A315" s="262">
        <v>4</v>
      </c>
      <c r="B315" s="261">
        <v>5</v>
      </c>
      <c r="C315" s="56">
        <v>4.0999999999999996</v>
      </c>
      <c r="D315" s="261">
        <f t="shared" si="11"/>
        <v>1.2419200249999998E-2</v>
      </c>
      <c r="E315" s="261">
        <v>0.95</v>
      </c>
      <c r="F315" s="327">
        <v>1.1200000000000001</v>
      </c>
      <c r="G315" s="262">
        <f>D315*E315*F315</f>
        <v>1.3214029065999998E-2</v>
      </c>
      <c r="I315" s="329">
        <v>350</v>
      </c>
      <c r="J315" s="330">
        <f t="shared" si="12"/>
        <v>0.71453313618429237</v>
      </c>
    </row>
    <row r="316" spans="1:10" s="49" customFormat="1" ht="12.5">
      <c r="A316" s="262">
        <v>4</v>
      </c>
      <c r="B316" s="261">
        <v>5</v>
      </c>
      <c r="C316" s="56">
        <v>4.2</v>
      </c>
      <c r="D316" s="261">
        <f>0.019316867+0.0025638*B316-0.00078866667*B316*B316</f>
        <v>1.2419200249999998E-2</v>
      </c>
      <c r="E316" s="261">
        <v>0.95</v>
      </c>
      <c r="F316" s="327">
        <v>1.1000000000000001</v>
      </c>
      <c r="G316" s="262">
        <f>D316*E316*F316</f>
        <v>1.2978064261249998E-2</v>
      </c>
      <c r="I316" s="329">
        <v>350</v>
      </c>
      <c r="J316" s="330">
        <f>$B$8/(1+$D$8*EXP(-G316*I316))</f>
        <v>0.69739333127053493</v>
      </c>
    </row>
    <row r="317" spans="1:10" s="49" customFormat="1" ht="12.5">
      <c r="A317" s="262">
        <v>4</v>
      </c>
      <c r="B317" s="261">
        <v>5</v>
      </c>
      <c r="C317" s="191">
        <v>4.3</v>
      </c>
      <c r="D317" s="261">
        <f>0.019316867+0.0025638*B317-0.00078866667*B317*B317</f>
        <v>1.2419200249999998E-2</v>
      </c>
      <c r="E317" s="261">
        <v>0.95</v>
      </c>
      <c r="F317" s="327">
        <v>1.08</v>
      </c>
      <c r="G317" s="262">
        <f>D317*E317*F317</f>
        <v>1.2742099456499997E-2</v>
      </c>
      <c r="I317" s="329">
        <v>350</v>
      </c>
      <c r="J317" s="330">
        <f>$B$8/(1+$D$8*EXP(-G317*I317))</f>
        <v>0.67968575810166165</v>
      </c>
    </row>
    <row r="318" spans="1:10" s="49" customFormat="1" ht="12.5">
      <c r="A318" s="262">
        <v>4</v>
      </c>
      <c r="B318" s="261">
        <v>5</v>
      </c>
      <c r="C318" s="191">
        <v>4.4000000000000004</v>
      </c>
      <c r="D318" s="261">
        <f>0.019316867+0.0025638*B318-0.00078866667*B318*B318</f>
        <v>1.2419200249999998E-2</v>
      </c>
      <c r="E318" s="261">
        <v>0.95</v>
      </c>
      <c r="F318" s="327">
        <v>1.06</v>
      </c>
      <c r="G318" s="262">
        <f>D318*E318*F318</f>
        <v>1.2506134651749998E-2</v>
      </c>
      <c r="I318" s="329">
        <v>350</v>
      </c>
      <c r="J318" s="330">
        <f>$B$8/(1+$D$8*EXP(-G318*I318))</f>
        <v>0.66144502112720349</v>
      </c>
    </row>
    <row r="319" spans="1:10" s="49" customFormat="1">
      <c r="F319" s="52"/>
      <c r="I319" s="76"/>
      <c r="J319" s="76"/>
    </row>
    <row r="320" spans="1:10" s="49" customFormat="1">
      <c r="F320" s="52"/>
      <c r="I320" s="76"/>
      <c r="J320" s="76"/>
    </row>
    <row r="321" spans="6:10" s="49" customFormat="1">
      <c r="F321" s="52"/>
      <c r="I321" s="76"/>
      <c r="J321" s="76"/>
    </row>
    <row r="322" spans="6:10" s="49" customFormat="1">
      <c r="F322" s="52"/>
      <c r="I322" s="76"/>
      <c r="J322" s="76"/>
    </row>
    <row r="323" spans="6:10">
      <c r="I323" s="69"/>
      <c r="J323" s="69"/>
    </row>
    <row r="324" spans="6:10">
      <c r="I324" s="69"/>
      <c r="J324" s="69"/>
    </row>
    <row r="325" spans="6:10">
      <c r="I325" s="69"/>
      <c r="J325" s="69"/>
    </row>
    <row r="326" spans="6:10">
      <c r="I326" s="69"/>
      <c r="J326" s="69"/>
    </row>
    <row r="327" spans="6:10">
      <c r="I327" s="69"/>
      <c r="J327" s="69"/>
    </row>
    <row r="328" spans="6:10">
      <c r="I328" s="69"/>
      <c r="J328" s="69"/>
    </row>
    <row r="329" spans="6:10">
      <c r="I329" s="69"/>
      <c r="J329" s="69"/>
    </row>
    <row r="330" spans="6:10">
      <c r="I330" s="69"/>
      <c r="J330" s="69"/>
    </row>
    <row r="331" spans="6:10">
      <c r="I331" s="69"/>
      <c r="J331" s="69"/>
    </row>
    <row r="332" spans="6:10">
      <c r="I332" s="69"/>
      <c r="J332" s="69"/>
    </row>
    <row r="333" spans="6:10">
      <c r="I333" s="69"/>
      <c r="J333" s="69"/>
    </row>
    <row r="334" spans="6:10">
      <c r="I334" s="69"/>
      <c r="J334" s="69"/>
    </row>
    <row r="335" spans="6:10">
      <c r="I335" s="69"/>
      <c r="J335" s="69"/>
    </row>
    <row r="336" spans="6:10">
      <c r="I336" s="69"/>
      <c r="J336" s="69"/>
    </row>
    <row r="337" spans="9:10">
      <c r="I337" s="69"/>
      <c r="J337" s="69"/>
    </row>
    <row r="338" spans="9:10">
      <c r="I338" s="69"/>
      <c r="J338" s="69"/>
    </row>
    <row r="339" spans="9:10">
      <c r="I339" s="69"/>
      <c r="J339" s="69"/>
    </row>
    <row r="340" spans="9:10">
      <c r="I340" s="69"/>
      <c r="J340" s="69"/>
    </row>
    <row r="341" spans="9:10">
      <c r="I341" s="69"/>
      <c r="J341" s="69"/>
    </row>
    <row r="342" spans="9:10">
      <c r="I342" s="69"/>
      <c r="J342" s="69"/>
    </row>
    <row r="343" spans="9:10">
      <c r="I343" s="69"/>
      <c r="J343" s="69"/>
    </row>
    <row r="344" spans="9:10">
      <c r="I344" s="69"/>
      <c r="J344" s="69"/>
    </row>
    <row r="345" spans="9:10">
      <c r="I345" s="69"/>
      <c r="J345" s="69"/>
    </row>
    <row r="346" spans="9:10">
      <c r="I346" s="69"/>
      <c r="J346" s="69"/>
    </row>
    <row r="347" spans="9:10">
      <c r="I347" s="69"/>
      <c r="J347" s="69"/>
    </row>
    <row r="348" spans="9:10">
      <c r="I348" s="69"/>
      <c r="J348" s="69"/>
    </row>
    <row r="349" spans="9:10">
      <c r="I349" s="69"/>
      <c r="J349" s="69"/>
    </row>
    <row r="350" spans="9:10">
      <c r="I350" s="69"/>
      <c r="J350" s="69"/>
    </row>
    <row r="351" spans="9:10">
      <c r="I351" s="69"/>
      <c r="J351" s="69"/>
    </row>
    <row r="352" spans="9:10">
      <c r="I352" s="69"/>
      <c r="J352" s="69"/>
    </row>
    <row r="353" spans="9:10">
      <c r="I353" s="69"/>
      <c r="J353" s="69"/>
    </row>
    <row r="354" spans="9:10">
      <c r="I354" s="69"/>
      <c r="J354" s="69"/>
    </row>
    <row r="355" spans="9:10">
      <c r="I355" s="69"/>
      <c r="J355" s="69"/>
    </row>
    <row r="356" spans="9:10">
      <c r="I356" s="69"/>
      <c r="J356" s="69"/>
    </row>
    <row r="357" spans="9:10">
      <c r="I357" s="69"/>
      <c r="J357" s="69"/>
    </row>
    <row r="358" spans="9:10">
      <c r="I358" s="69"/>
      <c r="J358" s="69"/>
    </row>
    <row r="359" spans="9:10">
      <c r="I359" s="69"/>
      <c r="J359" s="69"/>
    </row>
    <row r="360" spans="9:10">
      <c r="I360" s="69"/>
      <c r="J360" s="69"/>
    </row>
    <row r="361" spans="9:10">
      <c r="I361" s="69"/>
      <c r="J361" s="69"/>
    </row>
    <row r="362" spans="9:10">
      <c r="I362" s="69"/>
      <c r="J362" s="69"/>
    </row>
    <row r="363" spans="9:10">
      <c r="I363" s="69"/>
      <c r="J363" s="69"/>
    </row>
    <row r="364" spans="9:10">
      <c r="I364" s="69"/>
      <c r="J364" s="69"/>
    </row>
    <row r="365" spans="9:10">
      <c r="I365" s="69"/>
      <c r="J365" s="69"/>
    </row>
    <row r="366" spans="9:10">
      <c r="I366" s="69"/>
      <c r="J366" s="69"/>
    </row>
    <row r="367" spans="9:10">
      <c r="I367" s="69"/>
      <c r="J367" s="69"/>
    </row>
    <row r="368" spans="9:10">
      <c r="I368" s="69"/>
      <c r="J368" s="69"/>
    </row>
    <row r="369" spans="9:10">
      <c r="I369" s="69"/>
      <c r="J369" s="69"/>
    </row>
    <row r="370" spans="9:10">
      <c r="I370" s="69"/>
      <c r="J370" s="69"/>
    </row>
    <row r="371" spans="9:10">
      <c r="I371" s="69"/>
      <c r="J371" s="69"/>
    </row>
    <row r="372" spans="9:10">
      <c r="I372" s="69"/>
      <c r="J372" s="69"/>
    </row>
    <row r="373" spans="9:10">
      <c r="I373" s="69"/>
      <c r="J373" s="69"/>
    </row>
    <row r="374" spans="9:10">
      <c r="I374" s="69"/>
      <c r="J374" s="69"/>
    </row>
    <row r="375" spans="9:10">
      <c r="I375" s="69"/>
      <c r="J375" s="69"/>
    </row>
    <row r="376" spans="9:10">
      <c r="I376" s="69"/>
      <c r="J376" s="69"/>
    </row>
    <row r="377" spans="9:10">
      <c r="I377" s="69"/>
      <c r="J377" s="69"/>
    </row>
    <row r="378" spans="9:10">
      <c r="I378" s="69"/>
      <c r="J378" s="69"/>
    </row>
    <row r="379" spans="9:10">
      <c r="I379" s="69"/>
      <c r="J379" s="69"/>
    </row>
    <row r="380" spans="9:10">
      <c r="I380" s="69"/>
      <c r="J380" s="69"/>
    </row>
    <row r="381" spans="9:10">
      <c r="I381" s="69"/>
      <c r="J381" s="69"/>
    </row>
    <row r="382" spans="9:10">
      <c r="I382" s="69"/>
      <c r="J382" s="69"/>
    </row>
    <row r="383" spans="9:10">
      <c r="I383" s="69"/>
      <c r="J383" s="69"/>
    </row>
    <row r="384" spans="9:10">
      <c r="I384" s="69"/>
      <c r="J384" s="69"/>
    </row>
    <row r="385" spans="9:10">
      <c r="I385" s="69"/>
      <c r="J385" s="69"/>
    </row>
    <row r="386" spans="9:10">
      <c r="I386" s="69"/>
      <c r="J386" s="69"/>
    </row>
    <row r="387" spans="9:10">
      <c r="I387" s="69"/>
      <c r="J387" s="69"/>
    </row>
    <row r="388" spans="9:10">
      <c r="I388" s="69"/>
      <c r="J388" s="69"/>
    </row>
    <row r="389" spans="9:10">
      <c r="I389" s="69"/>
      <c r="J389" s="69"/>
    </row>
    <row r="390" spans="9:10">
      <c r="I390" s="69"/>
      <c r="J390" s="69"/>
    </row>
    <row r="391" spans="9:10">
      <c r="I391" s="69"/>
      <c r="J391" s="69"/>
    </row>
    <row r="392" spans="9:10">
      <c r="I392" s="69"/>
      <c r="J392" s="69"/>
    </row>
    <row r="393" spans="9:10">
      <c r="I393" s="69"/>
      <c r="J393" s="69"/>
    </row>
    <row r="394" spans="9:10">
      <c r="I394" s="69"/>
      <c r="J394" s="69"/>
    </row>
    <row r="395" spans="9:10">
      <c r="I395" s="69"/>
      <c r="J395" s="69"/>
    </row>
    <row r="396" spans="9:10">
      <c r="I396" s="69"/>
      <c r="J396" s="69"/>
    </row>
    <row r="397" spans="9:10">
      <c r="I397" s="69"/>
      <c r="J397" s="69"/>
    </row>
    <row r="398" spans="9:10">
      <c r="I398" s="69"/>
      <c r="J398" s="69"/>
    </row>
    <row r="399" spans="9:10">
      <c r="I399" s="69"/>
      <c r="J399" s="69"/>
    </row>
    <row r="400" spans="9:10">
      <c r="I400" s="69"/>
      <c r="J400" s="69"/>
    </row>
    <row r="401" spans="9:10">
      <c r="I401" s="69"/>
      <c r="J401" s="69"/>
    </row>
    <row r="402" spans="9:10">
      <c r="I402" s="69"/>
      <c r="J402" s="69"/>
    </row>
    <row r="403" spans="9:10">
      <c r="I403" s="69"/>
      <c r="J403" s="69"/>
    </row>
    <row r="404" spans="9:10">
      <c r="I404" s="69"/>
      <c r="J404" s="69"/>
    </row>
    <row r="405" spans="9:10">
      <c r="I405" s="69"/>
      <c r="J405" s="69"/>
    </row>
    <row r="406" spans="9:10">
      <c r="I406" s="69"/>
      <c r="J406" s="69"/>
    </row>
    <row r="407" spans="9:10">
      <c r="I407" s="69"/>
      <c r="J407" s="69"/>
    </row>
    <row r="408" spans="9:10">
      <c r="I408" s="69"/>
      <c r="J408" s="69"/>
    </row>
    <row r="409" spans="9:10">
      <c r="I409" s="69"/>
      <c r="J409" s="69"/>
    </row>
    <row r="410" spans="9:10">
      <c r="I410" s="69"/>
      <c r="J410" s="69"/>
    </row>
    <row r="411" spans="9:10">
      <c r="I411" s="69"/>
      <c r="J411" s="69"/>
    </row>
    <row r="412" spans="9:10">
      <c r="I412" s="69"/>
      <c r="J412" s="69"/>
    </row>
    <row r="413" spans="9:10">
      <c r="I413" s="69"/>
      <c r="J413" s="69"/>
    </row>
    <row r="414" spans="9:10">
      <c r="I414" s="69"/>
      <c r="J414" s="69"/>
    </row>
    <row r="415" spans="9:10">
      <c r="I415" s="69"/>
      <c r="J415" s="69"/>
    </row>
    <row r="416" spans="9:10">
      <c r="I416" s="69"/>
      <c r="J416" s="69"/>
    </row>
    <row r="417" spans="9:10">
      <c r="I417" s="69"/>
      <c r="J417" s="69"/>
    </row>
    <row r="418" spans="9:10">
      <c r="I418" s="69"/>
      <c r="J418" s="69"/>
    </row>
    <row r="419" spans="9:10">
      <c r="I419" s="69"/>
      <c r="J419" s="69"/>
    </row>
    <row r="420" spans="9:10">
      <c r="I420" s="69"/>
      <c r="J420" s="69"/>
    </row>
    <row r="421" spans="9:10">
      <c r="I421" s="69"/>
      <c r="J421" s="69"/>
    </row>
    <row r="422" spans="9:10">
      <c r="I422" s="69"/>
      <c r="J422" s="69"/>
    </row>
    <row r="423" spans="9:10">
      <c r="I423" s="69"/>
      <c r="J423" s="69"/>
    </row>
    <row r="424" spans="9:10">
      <c r="I424" s="69"/>
      <c r="J424" s="69"/>
    </row>
    <row r="425" spans="9:10">
      <c r="I425" s="69"/>
      <c r="J425" s="69"/>
    </row>
    <row r="426" spans="9:10">
      <c r="I426" s="69"/>
      <c r="J426" s="69"/>
    </row>
    <row r="427" spans="9:10">
      <c r="I427" s="69"/>
      <c r="J427" s="69"/>
    </row>
    <row r="428" spans="9:10">
      <c r="I428" s="69"/>
      <c r="J428" s="69"/>
    </row>
    <row r="429" spans="9:10">
      <c r="I429" s="69"/>
      <c r="J429" s="69"/>
    </row>
    <row r="430" spans="9:10">
      <c r="I430" s="69"/>
      <c r="J430" s="69"/>
    </row>
    <row r="431" spans="9:10">
      <c r="I431" s="69"/>
      <c r="J431" s="69"/>
    </row>
    <row r="432" spans="9:10">
      <c r="I432" s="69"/>
      <c r="J432" s="69"/>
    </row>
    <row r="433" spans="9:10">
      <c r="I433" s="69"/>
      <c r="J433" s="69"/>
    </row>
    <row r="434" spans="9:10">
      <c r="I434" s="69"/>
      <c r="J434" s="69"/>
    </row>
    <row r="435" spans="9:10">
      <c r="I435" s="69"/>
      <c r="J435" s="69"/>
    </row>
    <row r="436" spans="9:10">
      <c r="I436" s="69"/>
      <c r="J436" s="69"/>
    </row>
    <row r="437" spans="9:10">
      <c r="I437" s="69"/>
      <c r="J437" s="69"/>
    </row>
    <row r="438" spans="9:10">
      <c r="I438" s="69"/>
      <c r="J438" s="69"/>
    </row>
    <row r="439" spans="9:10">
      <c r="I439" s="69"/>
      <c r="J439" s="69"/>
    </row>
    <row r="440" spans="9:10">
      <c r="I440" s="69"/>
      <c r="J440" s="69"/>
    </row>
    <row r="441" spans="9:10">
      <c r="I441" s="69"/>
      <c r="J441" s="69"/>
    </row>
    <row r="442" spans="9:10">
      <c r="I442" s="69"/>
      <c r="J442" s="69"/>
    </row>
    <row r="443" spans="9:10">
      <c r="I443" s="69"/>
      <c r="J443" s="69"/>
    </row>
    <row r="444" spans="9:10">
      <c r="I444" s="69"/>
      <c r="J444" s="69"/>
    </row>
    <row r="445" spans="9:10">
      <c r="I445" s="69"/>
      <c r="J445" s="69"/>
    </row>
    <row r="446" spans="9:10">
      <c r="I446" s="69"/>
      <c r="J446" s="69"/>
    </row>
    <row r="447" spans="9:10">
      <c r="I447" s="69"/>
      <c r="J447" s="69"/>
    </row>
    <row r="448" spans="9:10">
      <c r="I448" s="69"/>
      <c r="J448" s="69"/>
    </row>
    <row r="449" spans="9:10">
      <c r="I449" s="69"/>
      <c r="J449" s="69"/>
    </row>
    <row r="450" spans="9:10">
      <c r="I450" s="69"/>
      <c r="J450" s="69"/>
    </row>
    <row r="451" spans="9:10">
      <c r="I451" s="69"/>
      <c r="J451" s="69"/>
    </row>
    <row r="452" spans="9:10">
      <c r="I452" s="69"/>
      <c r="J452" s="69"/>
    </row>
    <row r="453" spans="9:10">
      <c r="I453" s="69"/>
      <c r="J453" s="69"/>
    </row>
    <row r="454" spans="9:10">
      <c r="I454" s="69"/>
      <c r="J454" s="69"/>
    </row>
    <row r="455" spans="9:10">
      <c r="I455" s="69"/>
      <c r="J455" s="69"/>
    </row>
    <row r="456" spans="9:10">
      <c r="I456" s="69"/>
      <c r="J456" s="69"/>
    </row>
    <row r="457" spans="9:10">
      <c r="I457" s="69"/>
      <c r="J457" s="69"/>
    </row>
    <row r="458" spans="9:10">
      <c r="I458" s="69"/>
      <c r="J458" s="69"/>
    </row>
    <row r="459" spans="9:10">
      <c r="I459" s="69"/>
      <c r="J459" s="69"/>
    </row>
    <row r="460" spans="9:10">
      <c r="I460" s="69"/>
      <c r="J460" s="69"/>
    </row>
    <row r="461" spans="9:10">
      <c r="I461" s="69"/>
      <c r="J461" s="69"/>
    </row>
    <row r="462" spans="9:10">
      <c r="I462" s="69"/>
      <c r="J462" s="69"/>
    </row>
    <row r="463" spans="9:10">
      <c r="I463" s="69"/>
      <c r="J463" s="69"/>
    </row>
    <row r="464" spans="9:10">
      <c r="I464" s="69"/>
      <c r="J464" s="69"/>
    </row>
    <row r="465" spans="9:10">
      <c r="I465" s="69"/>
      <c r="J465" s="69"/>
    </row>
    <row r="466" spans="9:10">
      <c r="I466" s="69"/>
      <c r="J466" s="69"/>
    </row>
    <row r="467" spans="9:10">
      <c r="I467" s="69"/>
      <c r="J467" s="69"/>
    </row>
    <row r="468" spans="9:10">
      <c r="I468" s="69"/>
      <c r="J468" s="69"/>
    </row>
    <row r="469" spans="9:10">
      <c r="I469" s="69"/>
      <c r="J469" s="69"/>
    </row>
    <row r="470" spans="9:10">
      <c r="I470" s="69"/>
      <c r="J470" s="69"/>
    </row>
    <row r="471" spans="9:10">
      <c r="I471" s="69"/>
      <c r="J471" s="69"/>
    </row>
    <row r="472" spans="9:10">
      <c r="I472" s="69"/>
      <c r="J472" s="69"/>
    </row>
    <row r="473" spans="9:10">
      <c r="I473" s="69"/>
      <c r="J473" s="69"/>
    </row>
    <row r="474" spans="9:10">
      <c r="I474" s="69"/>
      <c r="J474" s="69"/>
    </row>
    <row r="475" spans="9:10">
      <c r="I475" s="69"/>
      <c r="J475" s="69"/>
    </row>
    <row r="476" spans="9:10">
      <c r="I476" s="69"/>
      <c r="J476" s="69"/>
    </row>
    <row r="477" spans="9:10">
      <c r="I477" s="69"/>
      <c r="J477" s="69"/>
    </row>
    <row r="478" spans="9:10">
      <c r="I478" s="69"/>
      <c r="J478" s="69"/>
    </row>
    <row r="479" spans="9:10">
      <c r="I479" s="69"/>
      <c r="J479" s="69"/>
    </row>
    <row r="480" spans="9:10">
      <c r="I480" s="69"/>
      <c r="J480" s="69"/>
    </row>
    <row r="481" spans="9:10">
      <c r="I481" s="69"/>
      <c r="J481" s="69"/>
    </row>
    <row r="482" spans="9:10">
      <c r="I482" s="69"/>
      <c r="J482" s="69"/>
    </row>
    <row r="483" spans="9:10">
      <c r="I483" s="69"/>
      <c r="J483" s="69"/>
    </row>
    <row r="484" spans="9:10">
      <c r="I484" s="69"/>
      <c r="J484" s="69"/>
    </row>
    <row r="485" spans="9:10">
      <c r="I485" s="69"/>
      <c r="J485" s="69"/>
    </row>
    <row r="486" spans="9:10">
      <c r="I486" s="69"/>
      <c r="J486" s="69"/>
    </row>
    <row r="487" spans="9:10">
      <c r="I487" s="69"/>
      <c r="J487" s="69"/>
    </row>
    <row r="488" spans="9:10">
      <c r="I488" s="69"/>
      <c r="J488" s="69"/>
    </row>
    <row r="489" spans="9:10">
      <c r="I489" s="69"/>
      <c r="J489" s="69"/>
    </row>
    <row r="490" spans="9:10">
      <c r="I490" s="69"/>
      <c r="J490" s="69"/>
    </row>
    <row r="491" spans="9:10">
      <c r="I491" s="69"/>
      <c r="J491" s="69"/>
    </row>
    <row r="492" spans="9:10">
      <c r="I492" s="69"/>
      <c r="J492" s="69"/>
    </row>
    <row r="493" spans="9:10">
      <c r="I493" s="69"/>
      <c r="J493" s="69"/>
    </row>
    <row r="494" spans="9:10">
      <c r="I494" s="69"/>
      <c r="J494" s="69"/>
    </row>
    <row r="495" spans="9:10">
      <c r="I495" s="69"/>
      <c r="J495" s="69"/>
    </row>
    <row r="496" spans="9:10">
      <c r="I496" s="69"/>
      <c r="J496" s="69"/>
    </row>
    <row r="497" spans="9:10">
      <c r="I497" s="69"/>
      <c r="J497" s="69"/>
    </row>
    <row r="498" spans="9:10">
      <c r="I498" s="69"/>
      <c r="J498" s="69"/>
    </row>
    <row r="499" spans="9:10">
      <c r="I499" s="69"/>
      <c r="J499" s="69"/>
    </row>
    <row r="500" spans="9:10">
      <c r="I500" s="69"/>
      <c r="J500" s="69"/>
    </row>
    <row r="501" spans="9:10">
      <c r="I501" s="69"/>
      <c r="J501" s="69"/>
    </row>
    <row r="502" spans="9:10">
      <c r="I502" s="69"/>
      <c r="J502" s="69"/>
    </row>
    <row r="503" spans="9:10">
      <c r="I503" s="69"/>
      <c r="J503" s="69"/>
    </row>
    <row r="504" spans="9:10">
      <c r="I504" s="69"/>
      <c r="J504" s="69"/>
    </row>
    <row r="505" spans="9:10">
      <c r="I505" s="69"/>
      <c r="J505" s="69"/>
    </row>
    <row r="506" spans="9:10">
      <c r="I506" s="69"/>
      <c r="J506" s="69"/>
    </row>
    <row r="507" spans="9:10">
      <c r="I507" s="69"/>
      <c r="J507" s="69"/>
    </row>
    <row r="508" spans="9:10">
      <c r="I508" s="69"/>
      <c r="J508" s="69"/>
    </row>
    <row r="509" spans="9:10">
      <c r="I509" s="69"/>
      <c r="J509" s="69"/>
    </row>
    <row r="510" spans="9:10">
      <c r="I510" s="69"/>
      <c r="J510" s="69"/>
    </row>
    <row r="511" spans="9:10">
      <c r="I511" s="69"/>
      <c r="J511" s="69"/>
    </row>
    <row r="512" spans="9:10">
      <c r="I512" s="69"/>
      <c r="J512" s="69"/>
    </row>
    <row r="513" spans="9:10">
      <c r="I513" s="69"/>
      <c r="J513" s="69"/>
    </row>
    <row r="514" spans="9:10">
      <c r="I514" s="69"/>
      <c r="J514" s="69"/>
    </row>
    <row r="515" spans="9:10">
      <c r="I515" s="69"/>
      <c r="J515" s="69"/>
    </row>
    <row r="516" spans="9:10">
      <c r="I516" s="69"/>
      <c r="J516" s="69"/>
    </row>
    <row r="517" spans="9:10">
      <c r="I517" s="69"/>
      <c r="J517" s="69"/>
    </row>
    <row r="518" spans="9:10">
      <c r="I518" s="69"/>
      <c r="J518" s="69"/>
    </row>
    <row r="519" spans="9:10">
      <c r="I519" s="69"/>
      <c r="J519" s="69"/>
    </row>
    <row r="520" spans="9:10">
      <c r="I520" s="69"/>
      <c r="J520" s="69"/>
    </row>
    <row r="521" spans="9:10">
      <c r="I521" s="69"/>
      <c r="J521" s="69"/>
    </row>
    <row r="522" spans="9:10">
      <c r="I522" s="69"/>
      <c r="J522" s="69"/>
    </row>
    <row r="523" spans="9:10">
      <c r="I523" s="69"/>
      <c r="J523" s="69"/>
    </row>
    <row r="524" spans="9:10">
      <c r="I524" s="69"/>
      <c r="J524" s="69"/>
    </row>
    <row r="525" spans="9:10">
      <c r="I525" s="69"/>
      <c r="J525" s="69"/>
    </row>
    <row r="526" spans="9:10">
      <c r="I526" s="69"/>
      <c r="J526" s="69"/>
    </row>
    <row r="527" spans="9:10">
      <c r="I527" s="69"/>
      <c r="J527" s="69"/>
    </row>
    <row r="528" spans="9:10">
      <c r="I528" s="69"/>
      <c r="J528" s="69"/>
    </row>
    <row r="529" spans="9:10">
      <c r="I529" s="69"/>
      <c r="J529" s="69"/>
    </row>
    <row r="530" spans="9:10">
      <c r="I530" s="69"/>
      <c r="J530" s="69"/>
    </row>
    <row r="531" spans="9:10">
      <c r="I531" s="69"/>
      <c r="J531" s="69"/>
    </row>
    <row r="532" spans="9:10">
      <c r="I532" s="69"/>
      <c r="J532" s="69"/>
    </row>
    <row r="533" spans="9:10">
      <c r="I533" s="69"/>
      <c r="J533" s="69"/>
    </row>
    <row r="534" spans="9:10">
      <c r="I534" s="69"/>
      <c r="J534" s="69"/>
    </row>
    <row r="535" spans="9:10">
      <c r="I535" s="69"/>
      <c r="J535" s="69"/>
    </row>
    <row r="536" spans="9:10">
      <c r="I536" s="69"/>
      <c r="J536" s="69"/>
    </row>
    <row r="537" spans="9:10">
      <c r="I537" s="69"/>
      <c r="J537" s="69"/>
    </row>
    <row r="538" spans="9:10">
      <c r="I538" s="69"/>
      <c r="J538" s="69"/>
    </row>
    <row r="539" spans="9:10">
      <c r="I539" s="69"/>
      <c r="J539" s="69"/>
    </row>
    <row r="540" spans="9:10">
      <c r="I540" s="69"/>
      <c r="J540" s="69"/>
    </row>
    <row r="541" spans="9:10">
      <c r="I541" s="69"/>
      <c r="J541" s="69"/>
    </row>
    <row r="542" spans="9:10">
      <c r="I542" s="69"/>
      <c r="J542" s="69"/>
    </row>
    <row r="543" spans="9:10">
      <c r="I543" s="69"/>
      <c r="J543" s="69"/>
    </row>
    <row r="544" spans="9:10">
      <c r="I544" s="69"/>
      <c r="J544" s="69"/>
    </row>
    <row r="545" spans="9:10">
      <c r="I545" s="69"/>
      <c r="J545" s="69"/>
    </row>
    <row r="546" spans="9:10">
      <c r="I546" s="69"/>
      <c r="J546" s="69"/>
    </row>
    <row r="547" spans="9:10">
      <c r="I547" s="69"/>
      <c r="J547" s="69"/>
    </row>
    <row r="548" spans="9:10">
      <c r="I548" s="69"/>
      <c r="J548" s="69"/>
    </row>
    <row r="549" spans="9:10">
      <c r="I549" s="69"/>
      <c r="J549" s="69"/>
    </row>
    <row r="550" spans="9:10">
      <c r="I550" s="69"/>
      <c r="J550" s="69"/>
    </row>
    <row r="551" spans="9:10">
      <c r="I551" s="69"/>
      <c r="J551" s="69"/>
    </row>
    <row r="552" spans="9:10">
      <c r="I552" s="69"/>
      <c r="J552" s="69"/>
    </row>
    <row r="553" spans="9:10">
      <c r="I553" s="69"/>
      <c r="J553" s="69"/>
    </row>
    <row r="554" spans="9:10">
      <c r="I554" s="69"/>
      <c r="J554" s="69"/>
    </row>
    <row r="555" spans="9:10">
      <c r="I555" s="69"/>
      <c r="J555" s="69"/>
    </row>
    <row r="556" spans="9:10">
      <c r="I556" s="69"/>
      <c r="J556" s="69"/>
    </row>
    <row r="557" spans="9:10">
      <c r="I557" s="69"/>
      <c r="J557" s="69"/>
    </row>
    <row r="558" spans="9:10">
      <c r="I558" s="69"/>
      <c r="J558" s="69"/>
    </row>
    <row r="559" spans="9:10">
      <c r="I559" s="69"/>
      <c r="J559" s="69"/>
    </row>
    <row r="560" spans="9:10">
      <c r="I560" s="69"/>
      <c r="J560" s="69"/>
    </row>
    <row r="561" spans="9:10">
      <c r="I561" s="69"/>
      <c r="J561" s="69"/>
    </row>
    <row r="562" spans="9:10">
      <c r="I562" s="69"/>
      <c r="J562" s="69"/>
    </row>
    <row r="563" spans="9:10">
      <c r="I563" s="69"/>
      <c r="J563" s="69"/>
    </row>
    <row r="564" spans="9:10">
      <c r="I564" s="69"/>
      <c r="J564" s="69"/>
    </row>
    <row r="565" spans="9:10">
      <c r="I565" s="69"/>
      <c r="J565" s="69"/>
    </row>
    <row r="566" spans="9:10">
      <c r="I566" s="69"/>
      <c r="J566" s="69"/>
    </row>
    <row r="567" spans="9:10">
      <c r="I567" s="69"/>
      <c r="J567" s="69"/>
    </row>
    <row r="568" spans="9:10">
      <c r="I568" s="69"/>
      <c r="J568" s="69"/>
    </row>
    <row r="569" spans="9:10">
      <c r="I569" s="69"/>
      <c r="J569" s="69"/>
    </row>
    <row r="570" spans="9:10">
      <c r="I570" s="69"/>
      <c r="J570" s="69"/>
    </row>
    <row r="571" spans="9:10">
      <c r="I571" s="69"/>
      <c r="J571" s="69"/>
    </row>
    <row r="572" spans="9:10">
      <c r="I572" s="69"/>
      <c r="J572" s="69"/>
    </row>
    <row r="573" spans="9:10">
      <c r="I573" s="69"/>
      <c r="J573" s="69"/>
    </row>
    <row r="574" spans="9:10">
      <c r="I574" s="69"/>
      <c r="J574" s="69"/>
    </row>
    <row r="575" spans="9:10">
      <c r="I575" s="69"/>
      <c r="J575" s="69"/>
    </row>
    <row r="576" spans="9:10">
      <c r="I576" s="69"/>
      <c r="J576" s="69"/>
    </row>
    <row r="577" spans="9:10">
      <c r="I577" s="69"/>
      <c r="J577" s="69"/>
    </row>
    <row r="578" spans="9:10">
      <c r="I578" s="69"/>
      <c r="J578" s="69"/>
    </row>
    <row r="579" spans="9:10">
      <c r="I579" s="69"/>
      <c r="J579" s="69"/>
    </row>
    <row r="580" spans="9:10">
      <c r="I580" s="69"/>
      <c r="J580" s="69"/>
    </row>
    <row r="581" spans="9:10">
      <c r="I581" s="69"/>
      <c r="J581" s="69"/>
    </row>
    <row r="582" spans="9:10">
      <c r="I582" s="69"/>
      <c r="J582" s="69"/>
    </row>
    <row r="583" spans="9:10">
      <c r="I583" s="69"/>
      <c r="J583" s="69"/>
    </row>
    <row r="584" spans="9:10">
      <c r="I584" s="69"/>
      <c r="J584" s="69"/>
    </row>
    <row r="585" spans="9:10">
      <c r="I585" s="69"/>
      <c r="J585" s="69"/>
    </row>
    <row r="586" spans="9:10">
      <c r="I586" s="69"/>
      <c r="J586" s="69"/>
    </row>
    <row r="587" spans="9:10">
      <c r="I587" s="69"/>
      <c r="J587" s="69"/>
    </row>
    <row r="588" spans="9:10">
      <c r="I588" s="69"/>
      <c r="J588" s="69"/>
    </row>
    <row r="589" spans="9:10">
      <c r="I589" s="69"/>
      <c r="J589" s="69"/>
    </row>
    <row r="590" spans="9:10">
      <c r="I590" s="69"/>
      <c r="J590" s="69"/>
    </row>
    <row r="591" spans="9:10">
      <c r="I591" s="69"/>
      <c r="J591" s="69"/>
    </row>
    <row r="592" spans="9:10">
      <c r="I592" s="69"/>
      <c r="J592" s="69"/>
    </row>
    <row r="593" spans="9:10">
      <c r="I593" s="69"/>
      <c r="J593" s="69"/>
    </row>
    <row r="594" spans="9:10">
      <c r="I594" s="69"/>
      <c r="J594" s="69"/>
    </row>
    <row r="595" spans="9:10">
      <c r="I595" s="69"/>
      <c r="J595" s="69"/>
    </row>
    <row r="596" spans="9:10">
      <c r="I596" s="69"/>
      <c r="J596" s="69"/>
    </row>
    <row r="597" spans="9:10">
      <c r="I597" s="69"/>
      <c r="J597" s="69"/>
    </row>
    <row r="598" spans="9:10">
      <c r="I598" s="69"/>
      <c r="J598" s="69"/>
    </row>
    <row r="599" spans="9:10">
      <c r="I599" s="69"/>
      <c r="J599" s="69"/>
    </row>
    <row r="600" spans="9:10">
      <c r="I600" s="69"/>
      <c r="J600" s="69"/>
    </row>
    <row r="601" spans="9:10">
      <c r="I601" s="69"/>
      <c r="J601" s="69"/>
    </row>
    <row r="602" spans="9:10">
      <c r="I602" s="69"/>
      <c r="J602" s="69"/>
    </row>
    <row r="603" spans="9:10">
      <c r="I603" s="69"/>
      <c r="J603" s="69"/>
    </row>
    <row r="604" spans="9:10">
      <c r="I604" s="69"/>
      <c r="J604" s="69"/>
    </row>
    <row r="605" spans="9:10">
      <c r="I605" s="69"/>
      <c r="J605" s="69"/>
    </row>
    <row r="606" spans="9:10">
      <c r="I606" s="69"/>
      <c r="J606" s="69"/>
    </row>
    <row r="607" spans="9:10">
      <c r="I607" s="69"/>
      <c r="J607" s="69"/>
    </row>
    <row r="608" spans="9:10">
      <c r="I608" s="69"/>
      <c r="J608" s="69"/>
    </row>
    <row r="609" spans="9:10">
      <c r="I609" s="69"/>
      <c r="J609" s="69"/>
    </row>
    <row r="610" spans="9:10">
      <c r="I610" s="69"/>
      <c r="J610" s="69"/>
    </row>
    <row r="611" spans="9:10">
      <c r="I611" s="69"/>
      <c r="J611" s="69"/>
    </row>
    <row r="612" spans="9:10">
      <c r="I612" s="69"/>
      <c r="J612" s="69"/>
    </row>
    <row r="613" spans="9:10">
      <c r="I613" s="69"/>
      <c r="J613" s="69"/>
    </row>
    <row r="614" spans="9:10">
      <c r="I614" s="69"/>
      <c r="J614" s="69"/>
    </row>
    <row r="615" spans="9:10">
      <c r="I615" s="69"/>
      <c r="J615" s="69"/>
    </row>
    <row r="616" spans="9:10">
      <c r="I616" s="69"/>
      <c r="J616" s="69"/>
    </row>
    <row r="617" spans="9:10">
      <c r="I617" s="69"/>
      <c r="J617" s="69"/>
    </row>
    <row r="618" spans="9:10">
      <c r="I618" s="69"/>
      <c r="J618" s="69"/>
    </row>
    <row r="619" spans="9:10">
      <c r="I619" s="69"/>
      <c r="J619" s="69"/>
    </row>
    <row r="620" spans="9:10">
      <c r="I620" s="69"/>
      <c r="J620" s="69"/>
    </row>
    <row r="621" spans="9:10">
      <c r="I621" s="69"/>
      <c r="J621" s="69"/>
    </row>
    <row r="622" spans="9:10">
      <c r="I622" s="69"/>
      <c r="J622" s="69"/>
    </row>
    <row r="623" spans="9:10">
      <c r="I623" s="69"/>
      <c r="J623" s="69"/>
    </row>
    <row r="624" spans="9:10">
      <c r="I624" s="69"/>
      <c r="J624" s="69"/>
    </row>
    <row r="625" spans="9:10">
      <c r="I625" s="69"/>
      <c r="J625" s="69"/>
    </row>
    <row r="626" spans="9:10">
      <c r="I626" s="69"/>
      <c r="J626" s="69"/>
    </row>
    <row r="627" spans="9:10">
      <c r="I627" s="69"/>
      <c r="J627" s="69"/>
    </row>
    <row r="628" spans="9:10">
      <c r="I628" s="69"/>
      <c r="J628" s="69"/>
    </row>
    <row r="629" spans="9:10">
      <c r="I629" s="69"/>
      <c r="J629" s="69"/>
    </row>
    <row r="630" spans="9:10">
      <c r="I630" s="69"/>
      <c r="J630" s="69"/>
    </row>
    <row r="631" spans="9:10">
      <c r="I631" s="69"/>
      <c r="J631" s="69"/>
    </row>
    <row r="632" spans="9:10">
      <c r="I632" s="69"/>
      <c r="J632" s="69"/>
    </row>
    <row r="633" spans="9:10">
      <c r="I633" s="69"/>
      <c r="J633" s="69"/>
    </row>
    <row r="634" spans="9:10">
      <c r="I634" s="69"/>
      <c r="J634" s="69"/>
    </row>
    <row r="635" spans="9:10">
      <c r="I635" s="69"/>
      <c r="J635" s="69"/>
    </row>
    <row r="636" spans="9:10">
      <c r="I636" s="69"/>
      <c r="J636" s="69"/>
    </row>
    <row r="637" spans="9:10">
      <c r="I637" s="69"/>
      <c r="J637" s="69"/>
    </row>
    <row r="638" spans="9:10">
      <c r="I638" s="69"/>
      <c r="J638" s="69"/>
    </row>
    <row r="639" spans="9:10">
      <c r="I639" s="69"/>
      <c r="J639" s="69"/>
    </row>
    <row r="640" spans="9:10">
      <c r="I640" s="69"/>
      <c r="J640" s="69"/>
    </row>
    <row r="641" spans="9:10">
      <c r="I641" s="69"/>
      <c r="J641" s="69"/>
    </row>
    <row r="642" spans="9:10">
      <c r="I642" s="69"/>
      <c r="J642" s="69"/>
    </row>
    <row r="643" spans="9:10">
      <c r="I643" s="69"/>
      <c r="J643" s="69"/>
    </row>
    <row r="644" spans="9:10">
      <c r="I644" s="69"/>
      <c r="J644" s="69"/>
    </row>
    <row r="645" spans="9:10">
      <c r="I645" s="69"/>
      <c r="J645" s="69"/>
    </row>
    <row r="646" spans="9:10">
      <c r="I646" s="69"/>
      <c r="J646" s="69"/>
    </row>
    <row r="647" spans="9:10">
      <c r="I647" s="69"/>
      <c r="J647" s="69"/>
    </row>
    <row r="648" spans="9:10">
      <c r="I648" s="69"/>
      <c r="J648" s="69"/>
    </row>
    <row r="649" spans="9:10">
      <c r="I649" s="69"/>
      <c r="J649" s="69"/>
    </row>
    <row r="650" spans="9:10">
      <c r="I650" s="69"/>
      <c r="J650" s="69"/>
    </row>
    <row r="651" spans="9:10">
      <c r="I651" s="69"/>
      <c r="J651" s="69"/>
    </row>
    <row r="652" spans="9:10">
      <c r="I652" s="69"/>
      <c r="J652" s="69"/>
    </row>
    <row r="653" spans="9:10">
      <c r="I653" s="69"/>
      <c r="J653" s="69"/>
    </row>
    <row r="654" spans="9:10">
      <c r="I654" s="69"/>
      <c r="J654" s="69"/>
    </row>
    <row r="655" spans="9:10">
      <c r="I655" s="69"/>
      <c r="J655" s="69"/>
    </row>
    <row r="656" spans="9:10">
      <c r="I656" s="69"/>
      <c r="J656" s="69"/>
    </row>
    <row r="657" spans="9:10">
      <c r="I657" s="69"/>
      <c r="J657" s="69"/>
    </row>
    <row r="658" spans="9:10">
      <c r="I658" s="69"/>
      <c r="J658" s="69"/>
    </row>
    <row r="659" spans="9:10">
      <c r="I659" s="69"/>
      <c r="J659" s="69"/>
    </row>
    <row r="660" spans="9:10">
      <c r="I660" s="69"/>
      <c r="J660" s="69"/>
    </row>
    <row r="661" spans="9:10">
      <c r="I661" s="69"/>
      <c r="J661" s="69"/>
    </row>
    <row r="662" spans="9:10">
      <c r="I662" s="69"/>
      <c r="J662" s="69"/>
    </row>
    <row r="663" spans="9:10">
      <c r="I663" s="69"/>
      <c r="J663" s="69"/>
    </row>
    <row r="664" spans="9:10">
      <c r="I664" s="69"/>
      <c r="J664" s="69"/>
    </row>
    <row r="665" spans="9:10">
      <c r="I665" s="69"/>
      <c r="J665" s="69"/>
    </row>
    <row r="666" spans="9:10">
      <c r="I666" s="69"/>
      <c r="J666" s="69"/>
    </row>
    <row r="667" spans="9:10">
      <c r="I667" s="69"/>
      <c r="J667" s="69"/>
    </row>
    <row r="668" spans="9:10">
      <c r="I668" s="69"/>
      <c r="J668" s="69"/>
    </row>
    <row r="669" spans="9:10">
      <c r="I669" s="69"/>
      <c r="J669" s="69"/>
    </row>
    <row r="670" spans="9:10">
      <c r="I670" s="69"/>
      <c r="J670" s="69"/>
    </row>
    <row r="671" spans="9:10">
      <c r="I671" s="69"/>
      <c r="J671" s="69"/>
    </row>
    <row r="672" spans="9:10">
      <c r="I672" s="69"/>
      <c r="J672" s="69"/>
    </row>
    <row r="673" spans="9:10">
      <c r="I673" s="69"/>
      <c r="J673" s="69"/>
    </row>
    <row r="674" spans="9:10">
      <c r="I674" s="69"/>
      <c r="J674" s="69"/>
    </row>
    <row r="675" spans="9:10">
      <c r="I675" s="69"/>
      <c r="J675" s="69"/>
    </row>
    <row r="676" spans="9:10">
      <c r="I676" s="69"/>
      <c r="J676" s="69"/>
    </row>
    <row r="677" spans="9:10">
      <c r="I677" s="69"/>
      <c r="J677" s="69"/>
    </row>
    <row r="678" spans="9:10">
      <c r="I678" s="69"/>
      <c r="J678" s="69"/>
    </row>
    <row r="679" spans="9:10">
      <c r="I679" s="69"/>
      <c r="J679" s="69"/>
    </row>
    <row r="680" spans="9:10">
      <c r="I680" s="69"/>
      <c r="J680" s="69"/>
    </row>
    <row r="681" spans="9:10">
      <c r="I681" s="69"/>
      <c r="J681" s="69"/>
    </row>
    <row r="682" spans="9:10">
      <c r="I682" s="69"/>
      <c r="J682" s="69"/>
    </row>
    <row r="683" spans="9:10">
      <c r="I683" s="69"/>
      <c r="J683" s="69"/>
    </row>
    <row r="684" spans="9:10">
      <c r="I684" s="69"/>
      <c r="J684" s="69"/>
    </row>
    <row r="685" spans="9:10">
      <c r="I685" s="69"/>
      <c r="J685" s="69"/>
    </row>
    <row r="686" spans="9:10">
      <c r="I686" s="69"/>
      <c r="J686" s="69"/>
    </row>
    <row r="687" spans="9:10">
      <c r="I687" s="69"/>
      <c r="J687" s="69"/>
    </row>
    <row r="688" spans="9:10">
      <c r="I688" s="69"/>
      <c r="J688" s="69"/>
    </row>
    <row r="689" spans="9:10">
      <c r="I689" s="69"/>
      <c r="J689" s="69"/>
    </row>
    <row r="690" spans="9:10">
      <c r="I690" s="69"/>
      <c r="J690" s="69"/>
    </row>
    <row r="691" spans="9:10">
      <c r="I691" s="69"/>
      <c r="J691" s="69"/>
    </row>
    <row r="692" spans="9:10">
      <c r="I692" s="69"/>
      <c r="J692" s="69"/>
    </row>
    <row r="693" spans="9:10">
      <c r="I693" s="69"/>
      <c r="J693" s="69"/>
    </row>
    <row r="694" spans="9:10">
      <c r="I694" s="69"/>
      <c r="J694" s="69"/>
    </row>
    <row r="695" spans="9:10">
      <c r="I695" s="69"/>
      <c r="J695" s="69"/>
    </row>
    <row r="696" spans="9:10">
      <c r="I696" s="69"/>
      <c r="J696" s="69"/>
    </row>
    <row r="697" spans="9:10">
      <c r="I697" s="69"/>
      <c r="J697" s="69"/>
    </row>
    <row r="698" spans="9:10">
      <c r="I698" s="69"/>
      <c r="J698" s="69"/>
    </row>
    <row r="699" spans="9:10">
      <c r="I699" s="69"/>
      <c r="J699" s="69"/>
    </row>
    <row r="700" spans="9:10">
      <c r="I700" s="69"/>
      <c r="J700" s="69"/>
    </row>
    <row r="701" spans="9:10">
      <c r="I701" s="69"/>
      <c r="J701" s="69"/>
    </row>
    <row r="702" spans="9:10">
      <c r="I702" s="69"/>
      <c r="J702" s="69"/>
    </row>
    <row r="703" spans="9:10">
      <c r="I703" s="69"/>
      <c r="J703" s="69"/>
    </row>
    <row r="704" spans="9:10">
      <c r="I704" s="69"/>
      <c r="J704" s="69"/>
    </row>
    <row r="705" spans="9:10">
      <c r="I705" s="69"/>
      <c r="J705" s="69"/>
    </row>
    <row r="706" spans="9:10">
      <c r="I706" s="69"/>
      <c r="J706" s="69"/>
    </row>
    <row r="707" spans="9:10">
      <c r="I707" s="69"/>
      <c r="J707" s="69"/>
    </row>
    <row r="708" spans="9:10">
      <c r="I708" s="69"/>
      <c r="J708" s="69"/>
    </row>
    <row r="709" spans="9:10">
      <c r="I709" s="69"/>
      <c r="J709" s="69"/>
    </row>
    <row r="710" spans="9:10">
      <c r="I710" s="69"/>
      <c r="J710" s="69"/>
    </row>
    <row r="711" spans="9:10">
      <c r="I711" s="69"/>
      <c r="J711" s="69"/>
    </row>
    <row r="712" spans="9:10">
      <c r="I712" s="69"/>
      <c r="J712" s="69"/>
    </row>
    <row r="713" spans="9:10">
      <c r="I713" s="69"/>
      <c r="J713" s="69"/>
    </row>
    <row r="714" spans="9:10">
      <c r="I714" s="69"/>
      <c r="J714" s="69"/>
    </row>
    <row r="715" spans="9:10">
      <c r="I715" s="69"/>
      <c r="J715" s="69"/>
    </row>
    <row r="716" spans="9:10">
      <c r="I716" s="69"/>
      <c r="J716" s="69"/>
    </row>
    <row r="717" spans="9:10">
      <c r="I717" s="69"/>
      <c r="J717" s="69"/>
    </row>
    <row r="718" spans="9:10">
      <c r="I718" s="69"/>
      <c r="J718" s="69"/>
    </row>
    <row r="719" spans="9:10">
      <c r="I719" s="69"/>
      <c r="J719" s="69"/>
    </row>
    <row r="720" spans="9:10">
      <c r="I720" s="69"/>
      <c r="J720" s="69"/>
    </row>
    <row r="721" spans="9:10">
      <c r="I721" s="69"/>
      <c r="J721" s="69"/>
    </row>
    <row r="722" spans="9:10">
      <c r="I722" s="69"/>
      <c r="J722" s="69"/>
    </row>
    <row r="723" spans="9:10">
      <c r="I723" s="69"/>
      <c r="J723" s="69"/>
    </row>
    <row r="724" spans="9:10">
      <c r="I724" s="69"/>
      <c r="J724" s="69"/>
    </row>
    <row r="725" spans="9:10">
      <c r="I725" s="69"/>
      <c r="J725" s="69"/>
    </row>
    <row r="726" spans="9:10">
      <c r="I726" s="69"/>
      <c r="J726" s="69"/>
    </row>
    <row r="727" spans="9:10">
      <c r="I727" s="69"/>
      <c r="J727" s="69"/>
    </row>
    <row r="728" spans="9:10">
      <c r="I728" s="69"/>
      <c r="J728" s="69"/>
    </row>
    <row r="729" spans="9:10">
      <c r="I729" s="69"/>
      <c r="J729" s="69"/>
    </row>
    <row r="730" spans="9:10">
      <c r="I730" s="69"/>
      <c r="J730" s="69"/>
    </row>
    <row r="731" spans="9:10">
      <c r="I731" s="69"/>
      <c r="J731" s="69"/>
    </row>
    <row r="732" spans="9:10">
      <c r="I732" s="69"/>
      <c r="J732" s="69"/>
    </row>
    <row r="733" spans="9:10">
      <c r="I733" s="69"/>
      <c r="J733" s="69"/>
    </row>
    <row r="734" spans="9:10">
      <c r="I734" s="69"/>
      <c r="J734" s="69"/>
    </row>
    <row r="735" spans="9:10">
      <c r="I735" s="69"/>
      <c r="J735" s="69"/>
    </row>
    <row r="736" spans="9:10">
      <c r="I736" s="69"/>
      <c r="J736" s="69"/>
    </row>
    <row r="737" spans="9:10">
      <c r="I737" s="69"/>
      <c r="J737" s="69"/>
    </row>
    <row r="738" spans="9:10">
      <c r="I738" s="69"/>
      <c r="J738" s="69"/>
    </row>
    <row r="739" spans="9:10">
      <c r="I739" s="69"/>
      <c r="J739" s="69"/>
    </row>
    <row r="740" spans="9:10">
      <c r="I740" s="69"/>
      <c r="J740" s="69"/>
    </row>
    <row r="741" spans="9:10">
      <c r="I741" s="69"/>
      <c r="J741" s="69"/>
    </row>
    <row r="742" spans="9:10">
      <c r="I742" s="69"/>
      <c r="J742" s="69"/>
    </row>
    <row r="743" spans="9:10">
      <c r="I743" s="69"/>
      <c r="J743" s="69"/>
    </row>
    <row r="744" spans="9:10">
      <c r="I744" s="69"/>
      <c r="J744" s="69"/>
    </row>
    <row r="745" spans="9:10">
      <c r="I745" s="69"/>
      <c r="J745" s="69"/>
    </row>
    <row r="746" spans="9:10">
      <c r="I746" s="69"/>
      <c r="J746" s="69"/>
    </row>
    <row r="747" spans="9:10">
      <c r="I747" s="69"/>
      <c r="J747" s="69"/>
    </row>
    <row r="748" spans="9:10">
      <c r="I748" s="69"/>
      <c r="J748" s="69"/>
    </row>
    <row r="749" spans="9:10">
      <c r="I749" s="69"/>
      <c r="J749" s="69"/>
    </row>
    <row r="750" spans="9:10">
      <c r="I750" s="69"/>
      <c r="J750" s="69"/>
    </row>
    <row r="751" spans="9:10">
      <c r="I751" s="69"/>
      <c r="J751" s="69"/>
    </row>
    <row r="752" spans="9:10">
      <c r="I752" s="69"/>
      <c r="J752" s="69"/>
    </row>
    <row r="753" spans="9:10">
      <c r="I753" s="69"/>
      <c r="J753" s="69"/>
    </row>
    <row r="754" spans="9:10">
      <c r="I754" s="69"/>
      <c r="J754" s="69"/>
    </row>
    <row r="755" spans="9:10">
      <c r="I755" s="69"/>
      <c r="J755" s="69"/>
    </row>
    <row r="756" spans="9:10">
      <c r="I756" s="69"/>
      <c r="J756" s="69"/>
    </row>
    <row r="757" spans="9:10">
      <c r="I757" s="69"/>
      <c r="J757" s="69"/>
    </row>
    <row r="758" spans="9:10">
      <c r="I758" s="69"/>
      <c r="J758" s="69"/>
    </row>
    <row r="759" spans="9:10">
      <c r="I759" s="69"/>
      <c r="J759" s="69"/>
    </row>
    <row r="760" spans="9:10">
      <c r="I760" s="69"/>
      <c r="J760" s="69"/>
    </row>
    <row r="761" spans="9:10">
      <c r="I761" s="69"/>
      <c r="J761" s="69"/>
    </row>
    <row r="762" spans="9:10">
      <c r="I762" s="69"/>
      <c r="J762" s="69"/>
    </row>
    <row r="763" spans="9:10">
      <c r="I763" s="69"/>
      <c r="J763" s="69"/>
    </row>
    <row r="764" spans="9:10">
      <c r="I764" s="69"/>
      <c r="J764" s="69"/>
    </row>
    <row r="765" spans="9:10">
      <c r="I765" s="69"/>
      <c r="J765" s="69"/>
    </row>
    <row r="766" spans="9:10">
      <c r="I766" s="69"/>
      <c r="J766" s="69"/>
    </row>
    <row r="767" spans="9:10">
      <c r="I767" s="69"/>
      <c r="J767" s="69"/>
    </row>
  </sheetData>
  <phoneticPr fontId="0" type="noConversion"/>
  <pageMargins left="0.75" right="0.75" top="1" bottom="1" header="0.5" footer="0.5"/>
  <pageSetup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6" tint="-0.249977111117893"/>
  </sheetPr>
  <dimension ref="A1:Z189"/>
  <sheetViews>
    <sheetView workbookViewId="0">
      <pane ySplit="3740" topLeftCell="A79" activePane="bottomLeft"/>
      <selection activeCell="D92" sqref="D92"/>
      <selection pane="bottomLeft" activeCell="B49" sqref="B49"/>
    </sheetView>
  </sheetViews>
  <sheetFormatPr defaultColWidth="8.8984375" defaultRowHeight="11.5"/>
  <cols>
    <col min="1" max="1" width="20.09765625" customWidth="1"/>
    <col min="2" max="2" width="11.3984375" customWidth="1"/>
    <col min="3" max="3" width="13.3984375" customWidth="1"/>
    <col min="4" max="4" width="12.3984375" customWidth="1"/>
    <col min="5" max="5" width="11.59765625" customWidth="1"/>
    <col min="6" max="6" width="10.59765625" customWidth="1"/>
    <col min="7" max="7" width="8.3984375" customWidth="1"/>
    <col min="11" max="11" width="7.59765625" customWidth="1"/>
    <col min="12" max="12" width="20.09765625" bestFit="1" customWidth="1"/>
  </cols>
  <sheetData>
    <row r="1" spans="1:26" ht="15.5">
      <c r="A1" s="59" t="s">
        <v>1084</v>
      </c>
      <c r="B1" s="60"/>
      <c r="C1" s="60"/>
      <c r="D1" s="60"/>
      <c r="E1" s="60"/>
      <c r="F1" s="60"/>
      <c r="H1" s="60"/>
      <c r="I1" s="64" t="s">
        <v>1083</v>
      </c>
      <c r="J1" s="60"/>
      <c r="K1" s="60"/>
      <c r="L1" s="60"/>
      <c r="M1" s="60"/>
      <c r="N1" s="60"/>
    </row>
    <row r="2" spans="1:26">
      <c r="A2" s="61"/>
      <c r="B2" s="61"/>
      <c r="C2" s="61"/>
      <c r="D2" s="61"/>
      <c r="E2" s="61"/>
      <c r="F2" s="61"/>
      <c r="G2" s="62"/>
      <c r="H2" s="62"/>
      <c r="I2" s="62"/>
      <c r="J2" s="62"/>
      <c r="K2" s="61"/>
      <c r="L2" s="61"/>
      <c r="M2" s="61"/>
      <c r="N2" s="61"/>
    </row>
    <row r="3" spans="1:26" ht="13">
      <c r="A3" s="63" t="s">
        <v>1073</v>
      </c>
      <c r="B3" s="61"/>
      <c r="C3" s="61"/>
      <c r="D3" s="61"/>
      <c r="E3" s="64"/>
      <c r="F3" s="61"/>
      <c r="G3" s="62"/>
      <c r="H3" s="62"/>
      <c r="I3" s="62"/>
      <c r="J3" s="62"/>
      <c r="K3" s="61"/>
      <c r="L3" s="61"/>
      <c r="M3" s="61"/>
      <c r="N3" s="61"/>
    </row>
    <row r="4" spans="1:26" ht="17.5">
      <c r="A4" s="65" t="s">
        <v>618</v>
      </c>
      <c r="B4" s="61"/>
      <c r="C4" s="61"/>
      <c r="D4" s="61"/>
      <c r="E4" s="64" t="s">
        <v>619</v>
      </c>
      <c r="F4" s="61"/>
      <c r="G4" s="62"/>
      <c r="H4" s="62"/>
      <c r="I4" s="62"/>
      <c r="J4" s="62"/>
      <c r="K4" s="61"/>
      <c r="L4" s="61"/>
      <c r="M4" s="61"/>
      <c r="N4" s="61"/>
    </row>
    <row r="5" spans="1:26" ht="14.5">
      <c r="A5" s="61" t="s">
        <v>620</v>
      </c>
      <c r="B5" s="61"/>
      <c r="C5" s="61"/>
      <c r="D5" s="61"/>
      <c r="E5" s="61"/>
      <c r="F5" s="61"/>
      <c r="G5" s="61"/>
      <c r="H5" s="61"/>
      <c r="I5" s="61"/>
      <c r="J5" s="61"/>
      <c r="K5" s="61"/>
      <c r="L5" s="61"/>
      <c r="M5" s="61"/>
      <c r="N5" s="61"/>
    </row>
    <row r="6" spans="1:26">
      <c r="A6" s="61" t="s">
        <v>623</v>
      </c>
      <c r="B6" s="61"/>
      <c r="C6" s="61"/>
      <c r="D6" s="61"/>
      <c r="E6" s="61"/>
      <c r="F6" s="61"/>
      <c r="G6" s="61"/>
      <c r="H6" s="61"/>
      <c r="I6" s="61"/>
      <c r="J6" s="61"/>
      <c r="K6" s="61"/>
      <c r="L6" s="61"/>
      <c r="M6" s="61"/>
      <c r="N6" s="61"/>
    </row>
    <row r="7" spans="1:26">
      <c r="A7" s="61"/>
      <c r="B7" s="107" t="s">
        <v>879</v>
      </c>
      <c r="C7" s="97">
        <v>1</v>
      </c>
      <c r="D7" s="61"/>
      <c r="E7" s="61"/>
      <c r="F7" s="61"/>
      <c r="G7" s="61"/>
      <c r="H7" s="61"/>
      <c r="I7" s="61"/>
      <c r="J7" s="61"/>
      <c r="K7" s="61"/>
      <c r="L7" s="61"/>
      <c r="M7" s="61"/>
      <c r="N7" s="61"/>
    </row>
    <row r="8" spans="1:26">
      <c r="A8" s="61" t="s">
        <v>621</v>
      </c>
      <c r="B8" s="61"/>
      <c r="C8" s="69"/>
      <c r="D8" s="61"/>
      <c r="E8" s="69"/>
      <c r="F8" s="62"/>
      <c r="G8" s="62"/>
      <c r="H8" s="62"/>
      <c r="I8" s="62"/>
      <c r="J8" s="62"/>
      <c r="K8" s="61"/>
      <c r="L8" s="61"/>
      <c r="M8" s="61"/>
      <c r="N8" s="61"/>
    </row>
    <row r="9" spans="1:26" s="61" customFormat="1" ht="13">
      <c r="B9" s="107" t="s">
        <v>624</v>
      </c>
      <c r="C9" s="97" t="s">
        <v>625</v>
      </c>
      <c r="D9" s="69"/>
      <c r="R9" s="109"/>
    </row>
    <row r="10" spans="1:26" s="61" customFormat="1" ht="13.5" thickBot="1">
      <c r="A10" s="67"/>
      <c r="B10" s="107" t="s">
        <v>864</v>
      </c>
      <c r="C10" s="198" t="s">
        <v>585</v>
      </c>
      <c r="E10" s="62"/>
      <c r="F10" s="62"/>
      <c r="G10" s="69"/>
      <c r="H10" s="69"/>
      <c r="I10" s="69"/>
      <c r="J10" s="69"/>
      <c r="K10" s="69"/>
      <c r="Q10" s="69"/>
      <c r="U10" s="62"/>
      <c r="V10" s="62"/>
      <c r="W10" s="62"/>
      <c r="X10" s="62"/>
      <c r="Y10" s="62"/>
    </row>
    <row r="11" spans="1:26" s="93" customFormat="1" ht="12" thickBot="1">
      <c r="A11" s="802" t="s">
        <v>461</v>
      </c>
      <c r="B11" s="803"/>
      <c r="C11" s="803"/>
      <c r="D11" s="804"/>
      <c r="E11"/>
      <c r="G11" s="2"/>
      <c r="H11" s="2"/>
      <c r="I11" s="2"/>
      <c r="J11" s="2"/>
      <c r="K11" s="2"/>
      <c r="L11" s="2"/>
    </row>
    <row r="12" spans="1:26" ht="13">
      <c r="B12" s="107"/>
      <c r="G12" s="661" t="s">
        <v>630</v>
      </c>
      <c r="H12" s="662"/>
      <c r="I12" s="663"/>
      <c r="J12" s="662"/>
      <c r="K12" s="663"/>
      <c r="L12" s="44"/>
    </row>
    <row r="13" spans="1:26" ht="13">
      <c r="A13" s="342" t="s">
        <v>1090</v>
      </c>
      <c r="B13" s="184"/>
      <c r="E13" s="67">
        <v>6.5</v>
      </c>
      <c r="F13" s="110">
        <f>1*EXP(-(POWER(E13-D20,2))/(2*POWER(E20,2)))</f>
        <v>0.94595946890676541</v>
      </c>
      <c r="G13" s="664" t="s">
        <v>628</v>
      </c>
      <c r="H13" s="140"/>
      <c r="I13" s="140"/>
      <c r="J13" s="140"/>
      <c r="K13" s="140"/>
      <c r="L13" s="665"/>
    </row>
    <row r="14" spans="1:26" ht="12.5">
      <c r="A14" s="184"/>
      <c r="B14" s="184"/>
      <c r="G14" s="666" t="s">
        <v>864</v>
      </c>
      <c r="H14" s="654" t="s">
        <v>389</v>
      </c>
      <c r="I14" s="132"/>
      <c r="J14" s="62"/>
      <c r="K14" s="62"/>
      <c r="L14" s="667"/>
    </row>
    <row r="15" spans="1:26" s="61" customFormat="1" ht="13">
      <c r="A15" s="632" t="s">
        <v>612</v>
      </c>
      <c r="B15" s="343"/>
      <c r="C15" s="62" t="s">
        <v>1007</v>
      </c>
      <c r="D15" s="81"/>
      <c r="E15" s="81"/>
      <c r="F15" s="49"/>
      <c r="G15" s="668" t="s">
        <v>629</v>
      </c>
      <c r="H15" s="142"/>
      <c r="I15" s="140"/>
      <c r="J15" s="140"/>
      <c r="K15" s="140"/>
      <c r="L15" s="665"/>
      <c r="M15"/>
      <c r="N15"/>
      <c r="Q15"/>
      <c r="R15"/>
      <c r="S15"/>
      <c r="T15"/>
      <c r="U15"/>
      <c r="V15"/>
      <c r="W15"/>
      <c r="X15"/>
      <c r="Y15"/>
      <c r="Z15"/>
    </row>
    <row r="16" spans="1:26" s="61" customFormat="1" ht="12.75" customHeight="1" thickBot="1">
      <c r="A16" s="101" t="s">
        <v>1047</v>
      </c>
      <c r="B16" s="568" t="s">
        <v>957</v>
      </c>
      <c r="C16" s="656" t="s">
        <v>1009</v>
      </c>
      <c r="D16" s="657" t="s">
        <v>622</v>
      </c>
      <c r="E16" s="658" t="s">
        <v>626</v>
      </c>
      <c r="F16" s="659" t="s">
        <v>627</v>
      </c>
      <c r="G16" s="669" t="s">
        <v>632</v>
      </c>
      <c r="H16" s="670"/>
      <c r="I16" s="670"/>
      <c r="J16" s="670"/>
      <c r="K16" s="670"/>
      <c r="L16" s="671"/>
      <c r="M16"/>
      <c r="N16"/>
      <c r="Q16"/>
      <c r="R16"/>
      <c r="S16"/>
      <c r="T16"/>
      <c r="U16"/>
      <c r="V16"/>
      <c r="W16"/>
      <c r="X16"/>
      <c r="Y16"/>
      <c r="Z16"/>
    </row>
    <row r="17" spans="1:26" s="110" customFormat="1" ht="16.5">
      <c r="A17" s="756" t="s">
        <v>960</v>
      </c>
      <c r="B17" s="742">
        <v>1</v>
      </c>
      <c r="C17" s="759">
        <v>8.4</v>
      </c>
      <c r="D17" s="776">
        <v>6.35</v>
      </c>
      <c r="E17" s="776">
        <v>2.0499999999999998</v>
      </c>
      <c r="F17" s="785">
        <f t="shared" ref="F17:F33" si="0">(1.2627176*E17)+(0.29161387*E17*E17)</f>
        <v>3.8140783686749993</v>
      </c>
      <c r="H17" s="824"/>
      <c r="I17" s="824">
        <v>6.75</v>
      </c>
      <c r="J17" s="824">
        <v>6.1</v>
      </c>
      <c r="K17" s="824">
        <v>0.65</v>
      </c>
      <c r="M17"/>
      <c r="N17"/>
      <c r="Q17"/>
      <c r="R17"/>
      <c r="S17"/>
      <c r="T17"/>
      <c r="U17"/>
      <c r="V17"/>
      <c r="W17"/>
      <c r="X17"/>
      <c r="Y17"/>
      <c r="Z17"/>
    </row>
    <row r="18" spans="1:26" s="687" customFormat="1" ht="16.5">
      <c r="A18" s="767" t="s">
        <v>1033</v>
      </c>
      <c r="B18" s="750">
        <v>2</v>
      </c>
      <c r="C18" s="780">
        <v>8.3000000000000007</v>
      </c>
      <c r="D18" s="770">
        <v>6.3</v>
      </c>
      <c r="E18" s="770">
        <v>2</v>
      </c>
      <c r="F18" s="785">
        <f>(1.2627176*E18)+(0.29161387*E18*E18)</f>
        <v>3.6918906800000002</v>
      </c>
      <c r="G18"/>
      <c r="H18" s="539"/>
      <c r="I18" s="539">
        <v>7</v>
      </c>
      <c r="J18" s="539">
        <v>6.3</v>
      </c>
      <c r="K18" s="539">
        <v>0.7</v>
      </c>
      <c r="M18" s="4"/>
      <c r="N18" s="4"/>
      <c r="Q18" s="4"/>
      <c r="R18" s="4"/>
      <c r="S18" s="4"/>
      <c r="T18" s="4"/>
      <c r="U18" s="4"/>
      <c r="V18" s="4"/>
      <c r="W18" s="4"/>
      <c r="X18" s="4"/>
      <c r="Y18" s="4"/>
      <c r="Z18" s="4"/>
    </row>
    <row r="19" spans="1:26" s="687" customFormat="1" ht="16.5">
      <c r="A19" s="739" t="s">
        <v>1032</v>
      </c>
      <c r="B19" s="772">
        <v>3</v>
      </c>
      <c r="C19" s="725">
        <v>8.5</v>
      </c>
      <c r="D19" s="712">
        <f>4.8+((C19-4.8)/2)</f>
        <v>6.65</v>
      </c>
      <c r="E19" s="712">
        <f>C19-D19</f>
        <v>1.8499999999999996</v>
      </c>
      <c r="F19" s="755">
        <f t="shared" si="0"/>
        <v>3.334076030074999</v>
      </c>
      <c r="H19" s="825"/>
      <c r="I19" s="825">
        <v>7</v>
      </c>
      <c r="J19" s="825">
        <v>6.3</v>
      </c>
      <c r="K19" s="825">
        <v>0.7</v>
      </c>
      <c r="M19" s="4"/>
      <c r="N19" s="4"/>
      <c r="Q19" s="4"/>
      <c r="R19" s="4"/>
      <c r="S19" s="4"/>
      <c r="T19" s="4"/>
      <c r="U19" s="4"/>
      <c r="V19" s="4"/>
      <c r="W19" s="4"/>
      <c r="X19" s="4"/>
      <c r="Y19" s="4"/>
      <c r="Z19" s="4"/>
    </row>
    <row r="20" spans="1:26" s="687" customFormat="1" ht="16.5">
      <c r="A20" s="739" t="s">
        <v>402</v>
      </c>
      <c r="B20" s="772">
        <v>4</v>
      </c>
      <c r="C20" s="725">
        <v>8.6999999999999993</v>
      </c>
      <c r="D20" s="712">
        <f>5.4+((C20-5.4)/2)</f>
        <v>7.05</v>
      </c>
      <c r="E20" s="712">
        <f>C20-D20</f>
        <v>1.6499999999999995</v>
      </c>
      <c r="F20" s="755">
        <f t="shared" si="0"/>
        <v>2.8774028010749988</v>
      </c>
      <c r="H20" s="825"/>
      <c r="I20" s="825">
        <v>8</v>
      </c>
      <c r="J20" s="825">
        <v>6</v>
      </c>
      <c r="K20" s="825">
        <v>2</v>
      </c>
      <c r="M20" s="4"/>
      <c r="N20" s="4"/>
      <c r="Q20" s="4"/>
      <c r="R20" s="4"/>
      <c r="S20" s="4"/>
      <c r="T20" s="4"/>
      <c r="U20" s="4"/>
      <c r="V20" s="4"/>
      <c r="W20" s="4"/>
      <c r="X20" s="4"/>
      <c r="Y20" s="4"/>
      <c r="Z20" s="4"/>
    </row>
    <row r="21" spans="1:26" s="687" customFormat="1" ht="16.5">
      <c r="A21" s="739" t="s">
        <v>1037</v>
      </c>
      <c r="B21" s="772">
        <v>5</v>
      </c>
      <c r="C21" s="765">
        <v>8.4</v>
      </c>
      <c r="D21" s="734">
        <v>6.25</v>
      </c>
      <c r="E21" s="712">
        <v>1.2</v>
      </c>
      <c r="F21" s="755">
        <f t="shared" si="0"/>
        <v>1.9351850927999998</v>
      </c>
      <c r="H21" s="825"/>
      <c r="I21" s="825">
        <v>8.3000000000000007</v>
      </c>
      <c r="J21" s="825">
        <v>6.3</v>
      </c>
      <c r="K21" s="825">
        <v>2</v>
      </c>
      <c r="M21" s="4"/>
      <c r="N21" s="4"/>
      <c r="Q21" s="4"/>
      <c r="R21" s="4"/>
      <c r="S21" s="4"/>
      <c r="T21" s="4"/>
      <c r="U21" s="4"/>
      <c r="V21" s="4"/>
      <c r="W21" s="4"/>
      <c r="X21" s="4"/>
      <c r="Y21" s="4"/>
      <c r="Z21" s="4"/>
    </row>
    <row r="22" spans="1:26" s="687" customFormat="1" ht="16.5">
      <c r="A22" s="739" t="s">
        <v>1038</v>
      </c>
      <c r="B22" s="772">
        <v>6</v>
      </c>
      <c r="C22" s="765">
        <v>8.6999999999999993</v>
      </c>
      <c r="D22" s="734">
        <v>6.5</v>
      </c>
      <c r="E22" s="712">
        <f>C22-D22</f>
        <v>2.1999999999999993</v>
      </c>
      <c r="F22" s="755">
        <f t="shared" si="0"/>
        <v>4.1893898507999978</v>
      </c>
      <c r="H22" s="825"/>
      <c r="I22" s="825"/>
      <c r="J22" s="825">
        <v>6.5</v>
      </c>
      <c r="K22" s="825">
        <v>1</v>
      </c>
      <c r="M22" s="4"/>
      <c r="N22" s="4"/>
      <c r="Q22" s="4"/>
      <c r="R22" s="4"/>
      <c r="S22" s="4"/>
      <c r="T22" s="4"/>
      <c r="U22" s="4"/>
      <c r="V22" s="4"/>
      <c r="W22" s="4"/>
      <c r="X22" s="4"/>
      <c r="Y22" s="4"/>
      <c r="Z22" s="4"/>
    </row>
    <row r="23" spans="1:26" s="687" customFormat="1" ht="16.5">
      <c r="A23" s="767" t="s">
        <v>736</v>
      </c>
      <c r="B23" s="750">
        <v>7</v>
      </c>
      <c r="C23" s="740">
        <v>8.3000000000000007</v>
      </c>
      <c r="D23" s="770">
        <v>6.3</v>
      </c>
      <c r="E23" s="770">
        <v>2</v>
      </c>
      <c r="F23" s="785">
        <f t="shared" si="0"/>
        <v>3.6918906800000002</v>
      </c>
      <c r="I23" s="688"/>
      <c r="J23" s="688"/>
      <c r="K23" s="4"/>
      <c r="L23" s="4"/>
      <c r="M23" s="4"/>
      <c r="Q23" s="4"/>
      <c r="R23" s="4"/>
      <c r="S23" s="4"/>
      <c r="T23" s="4"/>
      <c r="U23" s="4"/>
      <c r="V23" s="4"/>
      <c r="W23" s="4"/>
      <c r="X23" s="4"/>
      <c r="Y23" s="4"/>
      <c r="Z23" s="4"/>
    </row>
    <row r="24" spans="1:26" s="687" customFormat="1" ht="16.5">
      <c r="A24" s="745" t="s">
        <v>720</v>
      </c>
      <c r="B24" s="772">
        <v>8</v>
      </c>
      <c r="C24" s="725">
        <v>8.6</v>
      </c>
      <c r="D24" s="712">
        <v>6</v>
      </c>
      <c r="E24" s="712">
        <v>2</v>
      </c>
      <c r="F24" s="755">
        <f t="shared" si="0"/>
        <v>3.6918906800000002</v>
      </c>
      <c r="K24" s="4"/>
      <c r="L24" s="4"/>
      <c r="M24" s="4"/>
      <c r="Q24" s="4"/>
      <c r="R24" s="4"/>
      <c r="S24" s="4"/>
      <c r="T24" s="4"/>
      <c r="U24" s="4"/>
      <c r="V24" s="4"/>
      <c r="W24" s="4"/>
      <c r="X24" s="4"/>
      <c r="Y24" s="4"/>
      <c r="Z24" s="4"/>
    </row>
    <row r="25" spans="1:26" s="687" customFormat="1" ht="16.5">
      <c r="A25" s="720" t="s">
        <v>445</v>
      </c>
      <c r="B25" s="750">
        <v>9</v>
      </c>
      <c r="C25" s="740">
        <v>7.5</v>
      </c>
      <c r="D25" s="770">
        <v>6.5</v>
      </c>
      <c r="E25" s="770">
        <v>1</v>
      </c>
      <c r="F25" s="785">
        <f t="shared" si="0"/>
        <v>1.5543314699999999</v>
      </c>
      <c r="K25" s="4"/>
      <c r="L25" s="4"/>
      <c r="M25" s="4"/>
      <c r="Q25" s="4"/>
      <c r="R25" s="4"/>
      <c r="S25" s="4"/>
      <c r="T25" s="4"/>
      <c r="U25" s="4"/>
      <c r="V25" s="4"/>
      <c r="W25" s="4"/>
      <c r="X25" s="4"/>
      <c r="Y25" s="4"/>
      <c r="Z25" s="4"/>
    </row>
    <row r="26" spans="1:26" s="687" customFormat="1" ht="16.5">
      <c r="A26" s="766" t="s">
        <v>596</v>
      </c>
      <c r="B26" s="773">
        <v>10</v>
      </c>
      <c r="C26" s="740">
        <v>8.6999999999999993</v>
      </c>
      <c r="D26" s="770">
        <v>6.5</v>
      </c>
      <c r="E26" s="770">
        <v>2.2000000000000002</v>
      </c>
      <c r="F26" s="785">
        <f t="shared" si="0"/>
        <v>4.1893898508000005</v>
      </c>
      <c r="K26" s="4"/>
      <c r="L26" s="4"/>
      <c r="M26" s="4"/>
      <c r="Q26" s="4"/>
      <c r="R26" s="4"/>
      <c r="S26" s="4"/>
      <c r="T26" s="4"/>
      <c r="U26" s="4"/>
      <c r="V26" s="4"/>
      <c r="W26" s="4"/>
      <c r="X26" s="4"/>
      <c r="Y26" s="4"/>
      <c r="Z26" s="4"/>
    </row>
    <row r="27" spans="1:26" s="687" customFormat="1" ht="16.5">
      <c r="A27" s="766" t="s">
        <v>270</v>
      </c>
      <c r="B27" s="773">
        <v>11</v>
      </c>
      <c r="C27" s="740">
        <v>7</v>
      </c>
      <c r="D27" s="770">
        <v>6.25</v>
      </c>
      <c r="E27" s="770">
        <v>0.75</v>
      </c>
      <c r="F27" s="785">
        <f t="shared" si="0"/>
        <v>1.1110710018750001</v>
      </c>
      <c r="Q27" s="4"/>
      <c r="R27" s="4"/>
      <c r="S27" s="4"/>
      <c r="T27" s="4"/>
      <c r="U27" s="4"/>
      <c r="V27" s="4"/>
      <c r="W27" s="4"/>
      <c r="X27" s="4"/>
      <c r="Y27" s="4"/>
      <c r="Z27" s="4"/>
    </row>
    <row r="28" spans="1:26" s="687" customFormat="1" ht="16.5">
      <c r="A28" s="766" t="s">
        <v>447</v>
      </c>
      <c r="B28" s="773">
        <v>12</v>
      </c>
      <c r="C28" s="740">
        <v>7</v>
      </c>
      <c r="D28" s="770">
        <v>6.25</v>
      </c>
      <c r="E28" s="770">
        <v>0.75</v>
      </c>
      <c r="F28" s="769">
        <f t="shared" si="0"/>
        <v>1.1110710018750001</v>
      </c>
    </row>
    <row r="29" spans="1:26" s="139" customFormat="1" ht="16.5">
      <c r="A29" s="766" t="s">
        <v>449</v>
      </c>
      <c r="B29" s="746">
        <v>13</v>
      </c>
      <c r="C29" s="740">
        <v>7</v>
      </c>
      <c r="D29" s="770">
        <v>6.25</v>
      </c>
      <c r="E29" s="770">
        <v>0.75</v>
      </c>
      <c r="F29" s="785">
        <f t="shared" si="0"/>
        <v>1.1110710018750001</v>
      </c>
    </row>
    <row r="30" spans="1:26" s="139" customFormat="1" ht="16.5">
      <c r="A30" s="724" t="s">
        <v>960</v>
      </c>
      <c r="B30" s="764">
        <v>14</v>
      </c>
      <c r="C30" s="736">
        <v>8.4</v>
      </c>
      <c r="D30" s="743">
        <v>6.35</v>
      </c>
      <c r="E30" s="743">
        <v>2.0499999999999998</v>
      </c>
      <c r="F30" s="755">
        <f t="shared" si="0"/>
        <v>3.8140783686749993</v>
      </c>
    </row>
    <row r="31" spans="1:26" s="139" customFormat="1" ht="16.5">
      <c r="A31" s="717" t="s">
        <v>365</v>
      </c>
      <c r="B31" s="764">
        <v>15</v>
      </c>
      <c r="C31" s="736">
        <v>7</v>
      </c>
      <c r="D31" s="743">
        <v>6.5</v>
      </c>
      <c r="E31" s="743">
        <v>1</v>
      </c>
      <c r="F31" s="755">
        <f t="shared" si="0"/>
        <v>1.5543314699999999</v>
      </c>
    </row>
    <row r="32" spans="1:26" s="139" customFormat="1" ht="16.5">
      <c r="A32" s="717" t="s">
        <v>369</v>
      </c>
      <c r="B32" s="764">
        <v>16</v>
      </c>
      <c r="C32" s="736">
        <v>8.1999999999999993</v>
      </c>
      <c r="D32" s="743">
        <v>6.7</v>
      </c>
      <c r="E32" s="743">
        <v>1.35</v>
      </c>
      <c r="F32" s="755">
        <f t="shared" si="0"/>
        <v>2.236135038075</v>
      </c>
    </row>
    <row r="33" spans="1:7" s="139" customFormat="1" ht="17" thickBot="1">
      <c r="A33" s="758" t="s">
        <v>348</v>
      </c>
      <c r="B33" s="754">
        <v>17</v>
      </c>
      <c r="C33" s="749">
        <v>8.4</v>
      </c>
      <c r="D33" s="753">
        <v>6.5</v>
      </c>
      <c r="E33" s="753">
        <v>1.45</v>
      </c>
      <c r="F33" s="715">
        <f t="shared" si="0"/>
        <v>2.4440586816750001</v>
      </c>
    </row>
    <row r="34" spans="1:7" s="139" customFormat="1" ht="12.5">
      <c r="A34" s="268"/>
      <c r="B34" s="268"/>
      <c r="C34" s="629"/>
      <c r="D34" s="630"/>
      <c r="E34" s="630"/>
      <c r="F34" s="562"/>
    </row>
    <row r="35" spans="1:7" s="139" customFormat="1" ht="12.5">
      <c r="A35" s="268"/>
      <c r="B35" s="268"/>
      <c r="C35" s="629"/>
      <c r="D35" s="630"/>
      <c r="E35" s="630"/>
      <c r="F35" s="562"/>
    </row>
    <row r="36" spans="1:7" s="139" customFormat="1" ht="12.5">
      <c r="A36" s="268"/>
      <c r="B36" s="268"/>
      <c r="C36" s="629"/>
      <c r="D36" s="630"/>
      <c r="E36" s="630"/>
      <c r="F36" s="562"/>
    </row>
    <row r="37" spans="1:7" s="139" customFormat="1" ht="12.5">
      <c r="A37" s="268"/>
      <c r="B37" s="268"/>
      <c r="C37" s="629"/>
      <c r="D37" s="630"/>
      <c r="E37" s="630"/>
      <c r="F37" s="562"/>
    </row>
    <row r="38" spans="1:7" s="139" customFormat="1" ht="12.5">
      <c r="A38" s="268"/>
      <c r="B38" s="268"/>
      <c r="C38" s="629"/>
      <c r="D38" s="630"/>
      <c r="E38" s="630"/>
      <c r="F38" s="562"/>
    </row>
    <row r="39" spans="1:7" s="93" customFormat="1"/>
    <row r="40" spans="1:7" s="49" customFormat="1"/>
    <row r="41" spans="1:7" s="184" customFormat="1">
      <c r="A41" s="280" t="s">
        <v>583</v>
      </c>
      <c r="D41" s="184" t="s">
        <v>582</v>
      </c>
    </row>
    <row r="42" spans="1:7" s="294" customFormat="1">
      <c r="A42" s="299" t="s">
        <v>1006</v>
      </c>
      <c r="B42" s="294" t="s">
        <v>1037</v>
      </c>
      <c r="C42" s="294" t="s">
        <v>611</v>
      </c>
      <c r="D42" s="294" t="s">
        <v>1034</v>
      </c>
      <c r="E42" s="294" t="s">
        <v>1033</v>
      </c>
      <c r="F42" s="294" t="s">
        <v>960</v>
      </c>
      <c r="G42" s="294" t="s">
        <v>1027</v>
      </c>
    </row>
    <row r="43" spans="1:7" s="184" customFormat="1">
      <c r="A43" s="339">
        <v>4</v>
      </c>
      <c r="B43" s="340">
        <f t="shared" ref="B43:G53" si="1">$C$7*EXP(-(POWER($A43-LOOKUP(B$54,$B$17:$B$30,$D$17:$D$30),2))/(2*POWER(LOOKUP(B$54,$B$17:$B$30,$E$17:$E$30),2)))</f>
        <v>0.17242162389375282</v>
      </c>
      <c r="C43" s="340">
        <f t="shared" si="1"/>
        <v>0.51837862088472031</v>
      </c>
      <c r="D43" s="340">
        <f t="shared" si="1"/>
        <v>0.51620567394549643</v>
      </c>
      <c r="E43" s="340">
        <f t="shared" si="1"/>
        <v>0.51620567394549643</v>
      </c>
      <c r="F43" s="340">
        <f t="shared" si="1"/>
        <v>0.51837862088472031</v>
      </c>
      <c r="G43" s="340">
        <f t="shared" si="1"/>
        <v>0.181146692974268</v>
      </c>
    </row>
    <row r="44" spans="1:7" s="184" customFormat="1">
      <c r="A44" s="341">
        <v>4.5</v>
      </c>
      <c r="B44" s="340">
        <f t="shared" si="1"/>
        <v>0.34529089077143388</v>
      </c>
      <c r="C44" s="340">
        <f t="shared" si="1"/>
        <v>0.66551234166270679</v>
      </c>
      <c r="D44" s="340">
        <f t="shared" si="1"/>
        <v>0.66697681085847449</v>
      </c>
      <c r="E44" s="340">
        <f t="shared" si="1"/>
        <v>0.66697681085847449</v>
      </c>
      <c r="F44" s="340">
        <f t="shared" si="1"/>
        <v>0.66551234166270679</v>
      </c>
      <c r="G44" s="340">
        <f t="shared" si="1"/>
        <v>0.30294170763221218</v>
      </c>
    </row>
    <row r="45" spans="1:7" s="184" customFormat="1">
      <c r="A45" s="341">
        <v>5</v>
      </c>
      <c r="B45" s="340">
        <f t="shared" si="1"/>
        <v>0.58127301787341445</v>
      </c>
      <c r="C45" s="340">
        <f t="shared" si="1"/>
        <v>0.80506261890224251</v>
      </c>
      <c r="D45" s="340">
        <f t="shared" si="1"/>
        <v>0.809571648667887</v>
      </c>
      <c r="E45" s="340">
        <f t="shared" si="1"/>
        <v>0.809571648667887</v>
      </c>
      <c r="F45" s="340">
        <f t="shared" si="1"/>
        <v>0.80506261890224251</v>
      </c>
      <c r="G45" s="340">
        <f t="shared" si="1"/>
        <v>0.46217623523916485</v>
      </c>
    </row>
    <row r="46" spans="1:7" s="184" customFormat="1">
      <c r="A46" s="341">
        <v>5.5</v>
      </c>
      <c r="B46" s="340">
        <f t="shared" si="1"/>
        <v>0.82257756239866464</v>
      </c>
      <c r="C46" s="340">
        <f t="shared" si="1"/>
        <v>0.91763025882762506</v>
      </c>
      <c r="D46" s="340">
        <f t="shared" si="1"/>
        <v>0.92311634638663587</v>
      </c>
      <c r="E46" s="340">
        <f t="shared" si="1"/>
        <v>0.92311634638663587</v>
      </c>
      <c r="F46" s="340">
        <f t="shared" si="1"/>
        <v>0.91763025882762506</v>
      </c>
      <c r="G46" s="340">
        <f t="shared" si="1"/>
        <v>0.64324443020936439</v>
      </c>
    </row>
    <row r="47" spans="1:7" s="184" customFormat="1">
      <c r="A47" s="341">
        <v>6</v>
      </c>
      <c r="B47" s="340">
        <f t="shared" si="1"/>
        <v>0.97853239207322784</v>
      </c>
      <c r="C47" s="340">
        <f t="shared" si="1"/>
        <v>0.98553103826693367</v>
      </c>
      <c r="D47" s="340">
        <f t="shared" si="1"/>
        <v>0.98881304461123309</v>
      </c>
      <c r="E47" s="340">
        <f t="shared" si="1"/>
        <v>0.98881304461123309</v>
      </c>
      <c r="F47" s="340">
        <f t="shared" si="1"/>
        <v>0.98553103826693367</v>
      </c>
      <c r="G47" s="340">
        <f t="shared" si="1"/>
        <v>0.81670335646008396</v>
      </c>
    </row>
    <row r="48" spans="1:7" s="184" customFormat="1">
      <c r="A48" s="341">
        <v>6.5</v>
      </c>
      <c r="B48" s="340">
        <f t="shared" si="1"/>
        <v>0.97853239207322784</v>
      </c>
      <c r="C48" s="340">
        <f t="shared" si="1"/>
        <v>0.99732660192112588</v>
      </c>
      <c r="D48" s="340">
        <f t="shared" si="1"/>
        <v>0.99501247919268232</v>
      </c>
      <c r="E48" s="340">
        <f t="shared" si="1"/>
        <v>0.99501247919268232</v>
      </c>
      <c r="F48" s="340">
        <f t="shared" si="1"/>
        <v>0.99732660192112588</v>
      </c>
      <c r="G48" s="340">
        <f t="shared" si="1"/>
        <v>0.94595946890676541</v>
      </c>
    </row>
    <row r="49" spans="1:9" s="184" customFormat="1">
      <c r="A49" s="341">
        <v>7</v>
      </c>
      <c r="B49" s="340">
        <f t="shared" si="1"/>
        <v>0.82257756239866464</v>
      </c>
      <c r="C49" s="340">
        <f t="shared" si="1"/>
        <v>0.95097481655801186</v>
      </c>
      <c r="D49" s="340">
        <f t="shared" si="1"/>
        <v>0.94058806336434209</v>
      </c>
      <c r="E49" s="340">
        <f t="shared" si="1"/>
        <v>0.94058806336434209</v>
      </c>
      <c r="F49" s="340">
        <f t="shared" si="1"/>
        <v>0.95097481655801186</v>
      </c>
      <c r="G49" s="340">
        <f t="shared" si="1"/>
        <v>0.99954096856440822</v>
      </c>
    </row>
    <row r="50" spans="1:9" s="184" customFormat="1">
      <c r="A50" s="341">
        <v>7.5</v>
      </c>
      <c r="B50" s="340">
        <f t="shared" si="1"/>
        <v>0.58127301787341445</v>
      </c>
      <c r="C50" s="340">
        <f t="shared" si="1"/>
        <v>0.85440768400029199</v>
      </c>
      <c r="D50" s="340">
        <f t="shared" si="1"/>
        <v>0.835270211411272</v>
      </c>
      <c r="E50" s="340">
        <f t="shared" si="1"/>
        <v>0.835270211411272</v>
      </c>
      <c r="F50" s="340">
        <f t="shared" si="1"/>
        <v>0.85440768400029199</v>
      </c>
      <c r="G50" s="340">
        <f t="shared" si="1"/>
        <v>0.96349297464906791</v>
      </c>
      <c r="I50" s="333"/>
    </row>
    <row r="51" spans="1:9" s="184" customFormat="1">
      <c r="A51" s="339">
        <v>8</v>
      </c>
      <c r="B51" s="340">
        <f t="shared" si="1"/>
        <v>0.34529089077143388</v>
      </c>
      <c r="C51" s="340">
        <f t="shared" si="1"/>
        <v>0.72331220103294291</v>
      </c>
      <c r="D51" s="340">
        <f t="shared" si="1"/>
        <v>0.6968047754960347</v>
      </c>
      <c r="E51" s="340">
        <f t="shared" si="1"/>
        <v>0.6968047754960347</v>
      </c>
      <c r="F51" s="340">
        <f t="shared" si="1"/>
        <v>0.72331220103294291</v>
      </c>
      <c r="G51" s="340">
        <f t="shared" si="1"/>
        <v>0.84725938374718901</v>
      </c>
    </row>
    <row r="52" spans="1:9" s="184" customFormat="1">
      <c r="A52" s="339">
        <v>8.5</v>
      </c>
      <c r="B52" s="340">
        <f>$C$7*EXP(-(POWER($A52-LOOKUP(B$54,$B$17:$B$30,$D$17:$D$30),2))/(2*POWER(LOOKUP(B$54,$B$17:$B$30,$E$17:$E$30),2)))</f>
        <v>0.17242162389375282</v>
      </c>
      <c r="C52" s="340">
        <f t="shared" si="1"/>
        <v>0.57696697154618914</v>
      </c>
      <c r="D52" s="340">
        <f t="shared" si="1"/>
        <v>0.5460744266397094</v>
      </c>
      <c r="E52" s="340">
        <f t="shared" si="1"/>
        <v>0.5460744266397094</v>
      </c>
      <c r="F52" s="340">
        <f t="shared" si="1"/>
        <v>0.57696697154618914</v>
      </c>
      <c r="G52" s="340">
        <f t="shared" si="1"/>
        <v>0.67967939634684116</v>
      </c>
    </row>
    <row r="53" spans="1:9" s="184" customFormat="1">
      <c r="A53" s="345">
        <v>9</v>
      </c>
      <c r="B53" s="346">
        <f>$C$7*EXP(-(POWER($A53-LOOKUP(B$54,$B$17:$B$30,$D$17:$D$30),2))/(2*POWER(LOOKUP(B$54,$B$17:$B$30,$E$17:$E$30),2)))</f>
        <v>7.2376902585238434E-2</v>
      </c>
      <c r="C53" s="346">
        <f t="shared" si="1"/>
        <v>0.43365127805244447</v>
      </c>
      <c r="D53" s="346">
        <f t="shared" si="1"/>
        <v>0.40202138309465485</v>
      </c>
      <c r="E53" s="346">
        <f t="shared" si="1"/>
        <v>0.40202138309465485</v>
      </c>
      <c r="F53" s="346">
        <f t="shared" si="1"/>
        <v>0.43365127805244447</v>
      </c>
      <c r="G53" s="346">
        <f t="shared" si="1"/>
        <v>0.49740678466922522</v>
      </c>
    </row>
    <row r="54" spans="1:9" s="49" customFormat="1">
      <c r="A54" s="334" t="s">
        <v>76</v>
      </c>
      <c r="B54" s="335">
        <v>5</v>
      </c>
      <c r="C54" s="335">
        <v>1</v>
      </c>
      <c r="D54" s="335">
        <v>7</v>
      </c>
      <c r="E54" s="335">
        <v>2</v>
      </c>
      <c r="F54" s="335">
        <v>14</v>
      </c>
      <c r="G54" s="335">
        <v>4</v>
      </c>
    </row>
    <row r="55" spans="1:9" s="49" customFormat="1" ht="12" customHeight="1"/>
    <row r="56" spans="1:9" s="184" customFormat="1">
      <c r="A56" s="280" t="s">
        <v>584</v>
      </c>
    </row>
    <row r="57" spans="1:9" s="294" customFormat="1">
      <c r="A57" s="299" t="s">
        <v>1006</v>
      </c>
      <c r="B57" s="294" t="s">
        <v>1037</v>
      </c>
      <c r="C57" s="294" t="s">
        <v>611</v>
      </c>
      <c r="D57" s="294" t="s">
        <v>1034</v>
      </c>
      <c r="E57" s="294" t="s">
        <v>1033</v>
      </c>
      <c r="F57" s="294" t="s">
        <v>960</v>
      </c>
      <c r="G57" s="294" t="s">
        <v>1027</v>
      </c>
    </row>
    <row r="58" spans="1:9" s="184" customFormat="1">
      <c r="A58" s="339">
        <v>4</v>
      </c>
      <c r="B58" s="557">
        <f>$C$7*EXP(-(POWER($A58-LOOKUP(B$69,$B$17:$B$30,$D$17:$D$30),2))/(2*POWER(LOOKUP(B$69,$B$17:$B$30,$F$17:$F$30),2)))</f>
        <v>0.50869238938862582</v>
      </c>
      <c r="C58" s="340">
        <f t="shared" ref="C58:G68" si="2">$C$7*EXP(-(POWER($A58-LOOKUP(C$69,$B$17:$B$30,$D$17:$D$30),2))/(2*POWER(LOOKUP(C$69,$B$17:$B$30,$F$17:$F$30),2)))</f>
        <v>0.8271135906024325</v>
      </c>
      <c r="D58" s="340">
        <f t="shared" si="2"/>
        <v>0.82361143635106904</v>
      </c>
      <c r="E58" s="340">
        <f t="shared" si="2"/>
        <v>0.82361143635106904</v>
      </c>
      <c r="F58" s="340">
        <f t="shared" si="2"/>
        <v>0.8271135906024325</v>
      </c>
      <c r="G58" s="340">
        <f t="shared" si="2"/>
        <v>0.57019167812109273</v>
      </c>
    </row>
    <row r="59" spans="1:9" s="184" customFormat="1">
      <c r="A59" s="341">
        <v>4.5</v>
      </c>
      <c r="B59" s="557">
        <f t="shared" ref="B59:B68" si="3">$C$7*EXP(-(POWER($A59-LOOKUP(B$69,$B$17:$B$30,$D$17:$D$30),2))/(2*POWER(LOOKUP(B$69,$B$17:$B$30,$F$17:$F$30),2)))</f>
        <v>0.66439069338320045</v>
      </c>
      <c r="C59" s="340">
        <f t="shared" si="2"/>
        <v>0.88902104463088139</v>
      </c>
      <c r="D59" s="340">
        <f t="shared" si="2"/>
        <v>0.88793656829393097</v>
      </c>
      <c r="E59" s="340">
        <f t="shared" si="2"/>
        <v>0.88793656829393097</v>
      </c>
      <c r="F59" s="340">
        <f t="shared" si="2"/>
        <v>0.88902104463088139</v>
      </c>
      <c r="G59" s="340">
        <f t="shared" si="2"/>
        <v>0.67523852787772121</v>
      </c>
    </row>
    <row r="60" spans="1:9" s="184" customFormat="1">
      <c r="A60" s="341">
        <v>5</v>
      </c>
      <c r="B60" s="557">
        <f t="shared" si="3"/>
        <v>0.81170788633720103</v>
      </c>
      <c r="C60" s="340">
        <f t="shared" si="2"/>
        <v>0.93928066443137359</v>
      </c>
      <c r="D60" s="340">
        <f t="shared" si="2"/>
        <v>0.9398872670076226</v>
      </c>
      <c r="E60" s="340">
        <f t="shared" si="2"/>
        <v>0.9398872670076226</v>
      </c>
      <c r="F60" s="340">
        <f t="shared" si="2"/>
        <v>0.93928066443137359</v>
      </c>
      <c r="G60" s="340">
        <f t="shared" si="2"/>
        <v>0.77585385452206845</v>
      </c>
    </row>
    <row r="61" spans="1:9" s="184" customFormat="1">
      <c r="A61" s="341">
        <v>5.5</v>
      </c>
      <c r="B61" s="557">
        <f t="shared" si="3"/>
        <v>0.92764950158563031</v>
      </c>
      <c r="C61" s="340">
        <f t="shared" si="2"/>
        <v>0.97547283347800895</v>
      </c>
      <c r="D61" s="340">
        <f t="shared" si="2"/>
        <v>0.97679592784689451</v>
      </c>
      <c r="E61" s="340">
        <f t="shared" si="2"/>
        <v>0.97679592784689451</v>
      </c>
      <c r="F61" s="340">
        <f t="shared" si="2"/>
        <v>0.97547283347800895</v>
      </c>
      <c r="G61" s="340">
        <f t="shared" si="2"/>
        <v>0.86494600618521589</v>
      </c>
    </row>
    <row r="62" spans="1:9" s="184" customFormat="1">
      <c r="A62" s="341">
        <v>6</v>
      </c>
      <c r="B62" s="557">
        <f t="shared" si="3"/>
        <v>0.99169012947324686</v>
      </c>
      <c r="C62" s="340">
        <f t="shared" si="2"/>
        <v>0.99579841740831798</v>
      </c>
      <c r="D62" s="340">
        <f t="shared" si="2"/>
        <v>0.99670391708497075</v>
      </c>
      <c r="E62" s="340">
        <f t="shared" si="2"/>
        <v>0.99670391708497075</v>
      </c>
      <c r="F62" s="340">
        <f t="shared" si="2"/>
        <v>0.99579841740831798</v>
      </c>
      <c r="G62" s="340">
        <f t="shared" si="2"/>
        <v>0.9355875655883904</v>
      </c>
    </row>
    <row r="63" spans="1:9" s="184" customFormat="1">
      <c r="A63" s="341">
        <v>6.5</v>
      </c>
      <c r="B63" s="557">
        <f t="shared" si="3"/>
        <v>0.99169012947324686</v>
      </c>
      <c r="C63" s="340">
        <f t="shared" si="2"/>
        <v>0.99922695392608873</v>
      </c>
      <c r="D63" s="340">
        <f t="shared" si="2"/>
        <v>0.99853373070819706</v>
      </c>
      <c r="E63" s="340">
        <f t="shared" si="2"/>
        <v>0.99853373070819706</v>
      </c>
      <c r="F63" s="340">
        <f t="shared" si="2"/>
        <v>0.99922695392608873</v>
      </c>
      <c r="G63" s="340">
        <f t="shared" si="2"/>
        <v>0.98189772223740368</v>
      </c>
    </row>
    <row r="64" spans="1:9" s="184" customFormat="1">
      <c r="A64" s="341">
        <v>7</v>
      </c>
      <c r="B64" s="557">
        <f t="shared" si="3"/>
        <v>0.92764950158563031</v>
      </c>
      <c r="C64" s="340">
        <f t="shared" si="2"/>
        <v>0.98558323027647388</v>
      </c>
      <c r="D64" s="340">
        <f t="shared" si="2"/>
        <v>0.98218560620895479</v>
      </c>
      <c r="E64" s="340">
        <f t="shared" si="2"/>
        <v>0.98218560620895479</v>
      </c>
      <c r="F64" s="340">
        <f t="shared" si="2"/>
        <v>0.98558323027647388</v>
      </c>
      <c r="G64" s="340">
        <f t="shared" si="2"/>
        <v>0.99984903512725531</v>
      </c>
    </row>
    <row r="65" spans="1:16" s="184" customFormat="1">
      <c r="A65" s="341">
        <v>7.5</v>
      </c>
      <c r="B65" s="557">
        <f t="shared" si="3"/>
        <v>0.81170788633720103</v>
      </c>
      <c r="C65" s="340">
        <f t="shared" si="2"/>
        <v>0.9555621220308107</v>
      </c>
      <c r="D65" s="340">
        <f t="shared" si="2"/>
        <v>0.94854653285384338</v>
      </c>
      <c r="E65" s="340">
        <f t="shared" si="2"/>
        <v>0.94854653285384338</v>
      </c>
      <c r="F65" s="340">
        <f t="shared" si="2"/>
        <v>0.9555621220308107</v>
      </c>
      <c r="G65" s="340">
        <f t="shared" si="2"/>
        <v>0.98784539349488709</v>
      </c>
      <c r="I65" s="333"/>
    </row>
    <row r="66" spans="1:16" s="184" customFormat="1">
      <c r="A66" s="339">
        <v>8</v>
      </c>
      <c r="B66" s="557">
        <f t="shared" si="3"/>
        <v>0.66439069338320045</v>
      </c>
      <c r="C66" s="340">
        <f t="shared" si="2"/>
        <v>0.91066994375987564</v>
      </c>
      <c r="D66" s="340">
        <f t="shared" si="2"/>
        <v>0.89941052800881904</v>
      </c>
      <c r="E66" s="340">
        <f t="shared" si="2"/>
        <v>0.89941052800881904</v>
      </c>
      <c r="F66" s="340">
        <f t="shared" si="2"/>
        <v>0.91066994375987564</v>
      </c>
      <c r="G66" s="340">
        <f t="shared" si="2"/>
        <v>0.9469562047772524</v>
      </c>
    </row>
    <row r="67" spans="1:16" s="184" customFormat="1">
      <c r="A67" s="339">
        <v>8.5</v>
      </c>
      <c r="B67" s="557">
        <f t="shared" si="3"/>
        <v>0.50869238938862582</v>
      </c>
      <c r="C67" s="340">
        <f t="shared" si="2"/>
        <v>0.8530992026965607</v>
      </c>
      <c r="D67" s="340">
        <f t="shared" si="2"/>
        <v>0.83732015109434177</v>
      </c>
      <c r="E67" s="340">
        <f t="shared" si="2"/>
        <v>0.83732015109434177</v>
      </c>
      <c r="F67" s="340">
        <f t="shared" si="2"/>
        <v>0.8530992026965607</v>
      </c>
      <c r="G67" s="340">
        <f t="shared" si="2"/>
        <v>0.8807591769852029</v>
      </c>
    </row>
    <row r="68" spans="1:16" s="184" customFormat="1">
      <c r="A68" s="345">
        <v>9</v>
      </c>
      <c r="B68" s="558">
        <f t="shared" si="3"/>
        <v>0.36432994221090353</v>
      </c>
      <c r="C68" s="346">
        <f t="shared" si="2"/>
        <v>0.78555125184845287</v>
      </c>
      <c r="D68" s="346">
        <f t="shared" si="2"/>
        <v>0.76534873678944626</v>
      </c>
      <c r="E68" s="346">
        <f t="shared" si="2"/>
        <v>0.76534873678944626</v>
      </c>
      <c r="F68" s="346">
        <f t="shared" si="2"/>
        <v>0.78555125184845287</v>
      </c>
      <c r="G68" s="346">
        <f t="shared" si="2"/>
        <v>0.79482373548391572</v>
      </c>
    </row>
    <row r="69" spans="1:16" s="49" customFormat="1">
      <c r="A69" s="334" t="s">
        <v>76</v>
      </c>
      <c r="B69" s="348">
        <v>5</v>
      </c>
      <c r="C69" s="335">
        <v>1</v>
      </c>
      <c r="D69" s="335">
        <v>7</v>
      </c>
      <c r="E69" s="335">
        <v>2</v>
      </c>
      <c r="F69" s="335">
        <v>14</v>
      </c>
      <c r="G69" s="335">
        <v>4</v>
      </c>
    </row>
    <row r="70" spans="1:16" s="153" customFormat="1">
      <c r="A70" s="197"/>
      <c r="B70" s="172"/>
    </row>
    <row r="71" spans="1:16" s="49" customFormat="1">
      <c r="A71" s="50"/>
      <c r="B71" s="50"/>
      <c r="C71" s="50"/>
      <c r="D71" s="50"/>
      <c r="E71" s="50"/>
      <c r="F71" s="50"/>
      <c r="H71" s="50"/>
      <c r="J71" s="154"/>
      <c r="K71" s="154"/>
      <c r="L71" s="154"/>
      <c r="M71" s="154"/>
      <c r="N71" s="154"/>
      <c r="O71" s="154"/>
    </row>
    <row r="72" spans="1:16" s="49" customFormat="1">
      <c r="A72" s="94"/>
      <c r="J72" s="154" t="s">
        <v>1188</v>
      </c>
    </row>
    <row r="73" spans="1:16" s="49" customFormat="1" ht="13">
      <c r="A73" s="85" t="s">
        <v>902</v>
      </c>
      <c r="J73" s="155" t="s">
        <v>901</v>
      </c>
      <c r="K73" s="51"/>
    </row>
    <row r="74" spans="1:16" s="49" customFormat="1" ht="24.75" customHeight="1">
      <c r="A74" s="199" t="s">
        <v>926</v>
      </c>
      <c r="B74" s="199" t="s">
        <v>637</v>
      </c>
      <c r="C74" s="199"/>
      <c r="D74" s="199"/>
      <c r="E74" s="631" t="s">
        <v>376</v>
      </c>
      <c r="F74" s="631" t="s">
        <v>373</v>
      </c>
      <c r="G74" s="631" t="s">
        <v>374</v>
      </c>
      <c r="H74" s="631" t="s">
        <v>375</v>
      </c>
      <c r="I74" s="153"/>
      <c r="J74" s="336" t="s">
        <v>870</v>
      </c>
      <c r="K74" s="337" t="s">
        <v>900</v>
      </c>
      <c r="L74" s="337" t="s">
        <v>631</v>
      </c>
    </row>
    <row r="75" spans="1:16" s="49" customFormat="1">
      <c r="A75" s="563" t="s">
        <v>638</v>
      </c>
      <c r="B75" s="563" t="s">
        <v>639</v>
      </c>
      <c r="C75" s="563"/>
      <c r="D75" s="563"/>
      <c r="E75" s="564">
        <v>6.25</v>
      </c>
      <c r="F75" s="564">
        <v>7.5</v>
      </c>
      <c r="G75" s="564">
        <v>6.8</v>
      </c>
      <c r="H75" s="564">
        <v>1.3</v>
      </c>
      <c r="I75" s="52" t="s">
        <v>1026</v>
      </c>
      <c r="J75" s="243">
        <v>5</v>
      </c>
      <c r="K75" s="338">
        <f>1*EXP(-(POWER(J75-G75,2))/(2*POWER(H75,2)))</f>
        <v>0.38343702546575154</v>
      </c>
      <c r="L75" s="338">
        <f>1*EXP(-(POWER(J75-G75,2))/(2*POWER((1.2627176*H75)+(0.29161387*H75*H75),2)))</f>
        <v>0.70074266031344778</v>
      </c>
    </row>
    <row r="76" spans="1:16" s="49" customFormat="1">
      <c r="A76" s="200" t="s">
        <v>640</v>
      </c>
      <c r="E76" s="201" t="s">
        <v>1026</v>
      </c>
      <c r="F76" s="201" t="s">
        <v>1026</v>
      </c>
      <c r="G76" s="560">
        <v>6.25</v>
      </c>
      <c r="H76" s="560">
        <v>0.75</v>
      </c>
      <c r="J76" s="243">
        <v>5</v>
      </c>
      <c r="K76" s="338">
        <f>1*EXP(-(POWER(J76-G76,2))/(2*POWER(H76,2)))</f>
        <v>0.24935220877729622</v>
      </c>
      <c r="L76" s="338">
        <f>1*EXP(-(POWER(J76-G76,2))/(2*POWER((1.2627176*H76)+(0.29161387*H76*H76),2)))</f>
        <v>0.53107172613212494</v>
      </c>
      <c r="N76"/>
      <c r="O76"/>
      <c r="P76"/>
    </row>
    <row r="77" spans="1:16" s="49" customFormat="1">
      <c r="A77" s="200" t="s">
        <v>641</v>
      </c>
      <c r="B77" s="200" t="s">
        <v>642</v>
      </c>
      <c r="C77" s="200"/>
      <c r="D77" s="200"/>
      <c r="E77" s="560">
        <v>5.6</v>
      </c>
      <c r="F77" s="560">
        <v>7</v>
      </c>
      <c r="G77" s="560">
        <v>6.3</v>
      </c>
      <c r="H77" s="560">
        <v>0.7</v>
      </c>
      <c r="J77" s="243">
        <v>5</v>
      </c>
      <c r="K77" s="338">
        <f t="shared" ref="K77:K140" si="4">1*EXP(-(POWER(J77-G77,2))/(2*POWER(H77,2)))</f>
        <v>0.17826397958504794</v>
      </c>
      <c r="L77" s="338">
        <f t="shared" ref="L77:L140" si="5">1*EXP(-(POWER(J77-G77,2))/(2*POWER((1.2627176*H77)+(0.29161387*H77*H77),2)))</f>
        <v>0.44866600367585313</v>
      </c>
      <c r="N77"/>
      <c r="O77"/>
      <c r="P77"/>
    </row>
    <row r="78" spans="1:16" s="49" customFormat="1">
      <c r="A78" s="200" t="s">
        <v>643</v>
      </c>
      <c r="E78" s="201" t="s">
        <v>1026</v>
      </c>
      <c r="F78" s="201" t="s">
        <v>1026</v>
      </c>
      <c r="G78" s="560">
        <v>6.25</v>
      </c>
      <c r="H78" s="560">
        <v>0.75</v>
      </c>
      <c r="J78" s="243">
        <v>5</v>
      </c>
      <c r="K78" s="338">
        <f t="shared" si="4"/>
        <v>0.24935220877729622</v>
      </c>
      <c r="L78" s="338">
        <f t="shared" si="5"/>
        <v>0.53107172613212494</v>
      </c>
      <c r="N78"/>
      <c r="O78"/>
      <c r="P78"/>
    </row>
    <row r="79" spans="1:16" s="49" customFormat="1">
      <c r="A79" s="200" t="s">
        <v>644</v>
      </c>
      <c r="B79" s="200" t="s">
        <v>645</v>
      </c>
      <c r="C79" s="200"/>
      <c r="D79" s="200"/>
      <c r="E79" s="560">
        <v>6</v>
      </c>
      <c r="F79" s="560">
        <v>7</v>
      </c>
      <c r="G79" s="560">
        <v>6.5</v>
      </c>
      <c r="H79" s="560">
        <v>0.6</v>
      </c>
      <c r="J79" s="243">
        <v>5</v>
      </c>
      <c r="K79" s="338">
        <f t="shared" si="4"/>
        <v>4.393693362340742E-2</v>
      </c>
      <c r="L79" s="338">
        <f t="shared" si="5"/>
        <v>0.22049148074296751</v>
      </c>
      <c r="N79"/>
      <c r="O79"/>
      <c r="P79"/>
    </row>
    <row r="80" spans="1:16" s="49" customFormat="1">
      <c r="A80" s="200" t="s">
        <v>646</v>
      </c>
      <c r="B80" s="200" t="s">
        <v>647</v>
      </c>
      <c r="C80" s="200"/>
      <c r="D80" s="200"/>
      <c r="E80" s="560">
        <v>4.3</v>
      </c>
      <c r="F80" s="560">
        <v>8.3000000000000007</v>
      </c>
      <c r="G80" s="560">
        <v>6.3</v>
      </c>
      <c r="H80" s="560">
        <v>2</v>
      </c>
      <c r="J80" s="243">
        <v>5</v>
      </c>
      <c r="K80" s="338">
        <f t="shared" si="4"/>
        <v>0.809571648667887</v>
      </c>
      <c r="L80" s="338">
        <f t="shared" si="5"/>
        <v>0.9398872670076226</v>
      </c>
      <c r="N80"/>
      <c r="O80"/>
      <c r="P80"/>
    </row>
    <row r="81" spans="1:16" s="49" customFormat="1">
      <c r="A81" s="563" t="s">
        <v>648</v>
      </c>
      <c r="B81" s="563" t="s">
        <v>649</v>
      </c>
      <c r="C81" s="563"/>
      <c r="D81" s="563"/>
      <c r="E81" s="564">
        <v>4.3</v>
      </c>
      <c r="F81" s="564">
        <v>8.3000000000000007</v>
      </c>
      <c r="G81" s="564">
        <v>6.3</v>
      </c>
      <c r="H81" s="564">
        <v>2</v>
      </c>
      <c r="J81" s="243">
        <v>5</v>
      </c>
      <c r="K81" s="338">
        <f t="shared" si="4"/>
        <v>0.809571648667887</v>
      </c>
      <c r="L81" s="338">
        <f t="shared" si="5"/>
        <v>0.9398872670076226</v>
      </c>
      <c r="N81"/>
      <c r="O81"/>
      <c r="P81"/>
    </row>
    <row r="82" spans="1:16" s="49" customFormat="1">
      <c r="A82" s="563" t="s">
        <v>650</v>
      </c>
      <c r="B82" s="563" t="s">
        <v>651</v>
      </c>
      <c r="C82" s="563"/>
      <c r="D82" s="563"/>
      <c r="E82" s="564">
        <v>5.5</v>
      </c>
      <c r="F82" s="564">
        <v>7</v>
      </c>
      <c r="G82" s="564">
        <v>6.25</v>
      </c>
      <c r="H82" s="564">
        <v>0.75</v>
      </c>
      <c r="J82" s="243">
        <v>5</v>
      </c>
      <c r="K82" s="338">
        <f t="shared" si="4"/>
        <v>0.24935220877729622</v>
      </c>
      <c r="L82" s="338">
        <f t="shared" si="5"/>
        <v>0.53107172613212494</v>
      </c>
      <c r="N82"/>
      <c r="O82"/>
      <c r="P82"/>
    </row>
    <row r="83" spans="1:16" s="49" customFormat="1">
      <c r="A83" s="563" t="s">
        <v>654</v>
      </c>
      <c r="B83" s="563" t="s">
        <v>655</v>
      </c>
      <c r="C83" s="563"/>
      <c r="D83" s="563"/>
      <c r="E83" s="564">
        <v>5.5</v>
      </c>
      <c r="F83" s="564">
        <v>6.5</v>
      </c>
      <c r="G83" s="564">
        <v>6.15</v>
      </c>
      <c r="H83" s="564">
        <v>1.5</v>
      </c>
      <c r="J83" s="243">
        <v>5</v>
      </c>
      <c r="K83" s="338">
        <f t="shared" si="4"/>
        <v>0.74535930454298027</v>
      </c>
      <c r="L83" s="338">
        <f t="shared" si="5"/>
        <v>0.90332299301922259</v>
      </c>
      <c r="N83"/>
      <c r="O83"/>
      <c r="P83"/>
    </row>
    <row r="84" spans="1:16" s="49" customFormat="1">
      <c r="A84" s="559" t="s">
        <v>310</v>
      </c>
      <c r="B84" s="559" t="s">
        <v>659</v>
      </c>
      <c r="C84" s="559"/>
      <c r="D84" s="559"/>
      <c r="E84" s="561">
        <v>4.3</v>
      </c>
      <c r="F84" s="561">
        <v>8.3000000000000007</v>
      </c>
      <c r="G84" s="561">
        <v>6.3</v>
      </c>
      <c r="H84" s="561">
        <v>2</v>
      </c>
      <c r="J84" s="243">
        <v>5</v>
      </c>
      <c r="K84" s="338">
        <f t="shared" si="4"/>
        <v>0.809571648667887</v>
      </c>
      <c r="L84" s="338">
        <f t="shared" si="5"/>
        <v>0.9398872670076226</v>
      </c>
      <c r="N84"/>
      <c r="O84"/>
      <c r="P84"/>
    </row>
    <row r="85" spans="1:16" s="49" customFormat="1">
      <c r="A85" s="563" t="s">
        <v>656</v>
      </c>
      <c r="B85" s="563" t="s">
        <v>657</v>
      </c>
      <c r="C85" s="563"/>
      <c r="D85" s="563"/>
      <c r="E85" s="564">
        <v>4.5</v>
      </c>
      <c r="F85" s="564">
        <v>8</v>
      </c>
      <c r="G85" s="564">
        <v>6.25</v>
      </c>
      <c r="H85" s="564">
        <v>1.75</v>
      </c>
      <c r="J85" s="243">
        <v>5</v>
      </c>
      <c r="K85" s="338">
        <f t="shared" si="4"/>
        <v>0.77483742888324936</v>
      </c>
      <c r="L85" s="338">
        <f t="shared" si="5"/>
        <v>0.9220575393561985</v>
      </c>
      <c r="N85"/>
      <c r="O85"/>
      <c r="P85"/>
    </row>
    <row r="86" spans="1:16" s="49" customFormat="1">
      <c r="A86" s="563" t="s">
        <v>652</v>
      </c>
      <c r="B86" s="563" t="s">
        <v>653</v>
      </c>
      <c r="C86" s="563"/>
      <c r="D86" s="563"/>
      <c r="E86" s="564">
        <v>4.8</v>
      </c>
      <c r="F86" s="564">
        <v>7</v>
      </c>
      <c r="G86" s="564">
        <v>5.9</v>
      </c>
      <c r="H86" s="564">
        <v>1.1000000000000001</v>
      </c>
      <c r="J86" s="243">
        <v>5</v>
      </c>
      <c r="K86" s="338">
        <f t="shared" si="4"/>
        <v>0.71554503225670085</v>
      </c>
      <c r="L86" s="338">
        <f t="shared" si="5"/>
        <v>0.87503925784503789</v>
      </c>
    </row>
    <row r="87" spans="1:16" s="49" customFormat="1">
      <c r="A87" s="563" t="s">
        <v>369</v>
      </c>
      <c r="B87" s="563" t="s">
        <v>371</v>
      </c>
      <c r="C87" s="563"/>
      <c r="D87" s="563"/>
      <c r="E87" s="564">
        <v>5.5</v>
      </c>
      <c r="F87" s="564">
        <v>8.1999999999999993</v>
      </c>
      <c r="G87" s="564">
        <f>6.4+(7-6.4)/2</f>
        <v>6.7</v>
      </c>
      <c r="H87" s="564">
        <f>(F87-E87)/2</f>
        <v>1.3499999999999996</v>
      </c>
      <c r="J87" s="243">
        <v>5</v>
      </c>
      <c r="K87" s="338">
        <f t="shared" si="4"/>
        <v>0.45254551239791002</v>
      </c>
      <c r="L87" s="338">
        <f t="shared" si="5"/>
        <v>0.74902518864707224</v>
      </c>
    </row>
    <row r="88" spans="1:16" s="49" customFormat="1">
      <c r="A88" s="523" t="s">
        <v>392</v>
      </c>
      <c r="B88" s="559" t="s">
        <v>396</v>
      </c>
      <c r="C88" s="523"/>
      <c r="D88" s="523"/>
      <c r="E88" s="523">
        <v>5.5</v>
      </c>
      <c r="F88" s="523">
        <v>7.5</v>
      </c>
      <c r="G88" s="673">
        <v>6.5</v>
      </c>
      <c r="H88" s="674">
        <v>1</v>
      </c>
      <c r="J88" s="243">
        <v>5</v>
      </c>
      <c r="K88" s="338">
        <f t="shared" si="4"/>
        <v>0.32465246735834974</v>
      </c>
      <c r="L88" s="338">
        <f t="shared" si="5"/>
        <v>0.62772315743010743</v>
      </c>
    </row>
    <row r="89" spans="1:16" s="49" customFormat="1">
      <c r="A89" s="523" t="s">
        <v>391</v>
      </c>
      <c r="B89" s="523" t="s">
        <v>397</v>
      </c>
      <c r="C89" s="523"/>
      <c r="D89" s="523"/>
      <c r="E89" s="523">
        <v>5.5</v>
      </c>
      <c r="F89" s="523">
        <v>7.5</v>
      </c>
      <c r="G89" s="673">
        <v>6.5</v>
      </c>
      <c r="H89" s="674">
        <v>1</v>
      </c>
      <c r="J89" s="243">
        <v>5</v>
      </c>
      <c r="K89" s="338">
        <f t="shared" si="4"/>
        <v>0.32465246735834974</v>
      </c>
      <c r="L89" s="338">
        <f t="shared" si="5"/>
        <v>0.62772315743010743</v>
      </c>
    </row>
    <row r="90" spans="1:16" s="49" customFormat="1">
      <c r="A90" s="563" t="s">
        <v>660</v>
      </c>
      <c r="B90" s="563" t="s">
        <v>661</v>
      </c>
      <c r="C90" s="563"/>
      <c r="D90" s="563"/>
      <c r="E90" s="564">
        <v>5.6</v>
      </c>
      <c r="F90" s="564">
        <v>7</v>
      </c>
      <c r="G90" s="564">
        <v>6.3</v>
      </c>
      <c r="H90" s="564">
        <v>0.7</v>
      </c>
      <c r="J90" s="243">
        <v>5</v>
      </c>
      <c r="K90" s="338">
        <f t="shared" si="4"/>
        <v>0.17826397958504794</v>
      </c>
      <c r="L90" s="338">
        <f t="shared" si="5"/>
        <v>0.44866600367585313</v>
      </c>
    </row>
    <row r="91" spans="1:16" s="49" customFormat="1">
      <c r="A91" s="563" t="s">
        <v>662</v>
      </c>
      <c r="B91" s="563" t="s">
        <v>663</v>
      </c>
      <c r="C91" s="563"/>
      <c r="D91" s="563"/>
      <c r="E91" s="564">
        <v>5.8</v>
      </c>
      <c r="F91" s="564">
        <v>7.5</v>
      </c>
      <c r="G91" s="564">
        <v>6.65</v>
      </c>
      <c r="H91" s="564">
        <v>0.85</v>
      </c>
      <c r="J91" s="243">
        <v>5</v>
      </c>
      <c r="K91" s="338">
        <f t="shared" si="4"/>
        <v>0.15196834369619072</v>
      </c>
      <c r="L91" s="338">
        <f t="shared" si="5"/>
        <v>0.43794091013805803</v>
      </c>
    </row>
    <row r="92" spans="1:16" s="49" customFormat="1">
      <c r="A92" s="563" t="s">
        <v>664</v>
      </c>
      <c r="B92" s="563" t="s">
        <v>665</v>
      </c>
      <c r="C92" s="563"/>
      <c r="D92" s="563"/>
      <c r="E92" s="564">
        <v>5.6</v>
      </c>
      <c r="F92" s="564">
        <v>7</v>
      </c>
      <c r="G92" s="564">
        <v>6.3</v>
      </c>
      <c r="H92" s="564">
        <v>0.7</v>
      </c>
      <c r="J92" s="243">
        <v>5</v>
      </c>
      <c r="K92" s="338">
        <f t="shared" si="4"/>
        <v>0.17826397958504794</v>
      </c>
      <c r="L92" s="338">
        <f t="shared" si="5"/>
        <v>0.44866600367585313</v>
      </c>
    </row>
    <row r="93" spans="1:16" s="49" customFormat="1">
      <c r="A93" s="563" t="s">
        <v>676</v>
      </c>
      <c r="B93" s="52"/>
      <c r="C93" s="52"/>
      <c r="D93" s="52"/>
      <c r="E93" s="52"/>
      <c r="F93" s="52"/>
      <c r="G93" s="564">
        <v>6.5</v>
      </c>
      <c r="H93" s="564">
        <v>1</v>
      </c>
      <c r="J93" s="243">
        <v>5</v>
      </c>
      <c r="K93" s="338">
        <f t="shared" si="4"/>
        <v>0.32465246735834974</v>
      </c>
      <c r="L93" s="338">
        <f t="shared" si="5"/>
        <v>0.62772315743010743</v>
      </c>
    </row>
    <row r="94" spans="1:16" s="49" customFormat="1">
      <c r="A94" s="563" t="s">
        <v>666</v>
      </c>
      <c r="B94" s="563" t="s">
        <v>667</v>
      </c>
      <c r="C94" s="563"/>
      <c r="D94" s="563"/>
      <c r="E94" s="564">
        <v>5.5</v>
      </c>
      <c r="F94" s="564">
        <v>6.75</v>
      </c>
      <c r="G94" s="564">
        <v>6.1</v>
      </c>
      <c r="H94" s="564">
        <v>0.65</v>
      </c>
      <c r="J94" s="243">
        <v>5</v>
      </c>
      <c r="K94" s="338">
        <f t="shared" si="4"/>
        <v>0.23884208856496597</v>
      </c>
      <c r="L94" s="338">
        <f t="shared" si="5"/>
        <v>0.50715067781115619</v>
      </c>
    </row>
    <row r="95" spans="1:16" s="49" customFormat="1">
      <c r="A95" s="563" t="s">
        <v>668</v>
      </c>
      <c r="B95" s="563" t="s">
        <v>669</v>
      </c>
      <c r="C95" s="563"/>
      <c r="D95" s="563"/>
      <c r="E95" s="564">
        <v>5.6</v>
      </c>
      <c r="F95" s="564">
        <v>7</v>
      </c>
      <c r="G95" s="564">
        <v>6.3</v>
      </c>
      <c r="H95" s="564">
        <v>0.7</v>
      </c>
      <c r="J95" s="243">
        <v>5</v>
      </c>
      <c r="K95" s="338">
        <f t="shared" si="4"/>
        <v>0.17826397958504794</v>
      </c>
      <c r="L95" s="338">
        <f t="shared" si="5"/>
        <v>0.44866600367585313</v>
      </c>
    </row>
    <row r="96" spans="1:16" s="49" customFormat="1">
      <c r="A96" s="563" t="s">
        <v>670</v>
      </c>
      <c r="B96" s="563" t="s">
        <v>671</v>
      </c>
      <c r="C96" s="563"/>
      <c r="D96" s="563"/>
      <c r="E96" s="564">
        <v>5.6</v>
      </c>
      <c r="F96" s="564">
        <v>7</v>
      </c>
      <c r="G96" s="564">
        <v>6.3</v>
      </c>
      <c r="H96" s="564">
        <v>0.7</v>
      </c>
      <c r="J96" s="243">
        <v>5</v>
      </c>
      <c r="K96" s="338">
        <f t="shared" si="4"/>
        <v>0.17826397958504794</v>
      </c>
      <c r="L96" s="338">
        <f t="shared" si="5"/>
        <v>0.44866600367585313</v>
      </c>
    </row>
    <row r="97" spans="1:12" s="49" customFormat="1">
      <c r="A97" s="563" t="s">
        <v>672</v>
      </c>
      <c r="B97" s="52"/>
      <c r="C97" s="52"/>
      <c r="D97" s="52"/>
      <c r="E97" s="564">
        <v>4</v>
      </c>
      <c r="F97" s="564">
        <v>8</v>
      </c>
      <c r="G97" s="564">
        <v>6</v>
      </c>
      <c r="H97" s="564">
        <v>2</v>
      </c>
      <c r="J97" s="243">
        <v>5</v>
      </c>
      <c r="K97" s="338">
        <f t="shared" si="4"/>
        <v>0.88249690258459546</v>
      </c>
      <c r="L97" s="338">
        <f t="shared" si="5"/>
        <v>0.96398105899077491</v>
      </c>
    </row>
    <row r="98" spans="1:12" s="49" customFormat="1">
      <c r="A98" s="563" t="s">
        <v>673</v>
      </c>
      <c r="B98" s="52"/>
      <c r="C98" s="52"/>
      <c r="D98" s="52"/>
      <c r="E98" s="564">
        <v>4.3</v>
      </c>
      <c r="F98" s="564">
        <v>8.3000000000000007</v>
      </c>
      <c r="G98" s="564">
        <v>6.3</v>
      </c>
      <c r="H98" s="564">
        <v>2</v>
      </c>
      <c r="J98" s="243">
        <v>5</v>
      </c>
      <c r="K98" s="338">
        <f t="shared" si="4"/>
        <v>0.809571648667887</v>
      </c>
      <c r="L98" s="338">
        <f t="shared" si="5"/>
        <v>0.9398872670076226</v>
      </c>
    </row>
    <row r="99" spans="1:12" s="49" customFormat="1">
      <c r="A99" s="563" t="s">
        <v>674</v>
      </c>
      <c r="B99" s="563" t="s">
        <v>675</v>
      </c>
      <c r="C99" s="563"/>
      <c r="D99" s="563"/>
      <c r="E99" s="564"/>
      <c r="F99" s="564"/>
      <c r="G99" s="564">
        <v>6.5</v>
      </c>
      <c r="H99" s="564">
        <v>1</v>
      </c>
      <c r="J99" s="243">
        <v>5</v>
      </c>
      <c r="K99" s="338">
        <f t="shared" si="4"/>
        <v>0.32465246735834974</v>
      </c>
      <c r="L99" s="338">
        <f t="shared" si="5"/>
        <v>0.62772315743010743</v>
      </c>
    </row>
    <row r="100" spans="1:12" s="49" customFormat="1">
      <c r="A100" s="563" t="s">
        <v>304</v>
      </c>
      <c r="B100" s="563" t="s">
        <v>306</v>
      </c>
      <c r="C100" s="563"/>
      <c r="D100" s="563"/>
      <c r="E100" s="564">
        <v>5.8</v>
      </c>
      <c r="F100" s="564">
        <v>7.2</v>
      </c>
      <c r="G100" s="564">
        <f>E100+H100</f>
        <v>6.5</v>
      </c>
      <c r="H100" s="564">
        <f>(F100-E100)/2</f>
        <v>0.70000000000000018</v>
      </c>
      <c r="J100" s="243">
        <v>5</v>
      </c>
      <c r="K100" s="338">
        <f t="shared" si="4"/>
        <v>0.10066889977289789</v>
      </c>
      <c r="L100" s="338">
        <f t="shared" si="5"/>
        <v>0.34402031826966784</v>
      </c>
    </row>
    <row r="101" spans="1:12" s="49" customFormat="1">
      <c r="A101" s="563" t="s">
        <v>367</v>
      </c>
      <c r="B101" s="563" t="s">
        <v>368</v>
      </c>
      <c r="C101" s="563"/>
      <c r="D101" s="563"/>
      <c r="E101" s="564">
        <v>5.5</v>
      </c>
      <c r="F101" s="564">
        <v>7</v>
      </c>
      <c r="G101" s="564">
        <f>E101+H101</f>
        <v>6.25</v>
      </c>
      <c r="H101" s="564">
        <f>(F101-E101)/2</f>
        <v>0.75</v>
      </c>
      <c r="J101" s="243">
        <v>5</v>
      </c>
      <c r="K101" s="338">
        <f t="shared" si="4"/>
        <v>0.24935220877729622</v>
      </c>
      <c r="L101" s="338">
        <f t="shared" si="5"/>
        <v>0.53107172613212494</v>
      </c>
    </row>
    <row r="102" spans="1:12" s="49" customFormat="1">
      <c r="A102" s="563" t="s">
        <v>677</v>
      </c>
      <c r="B102" s="563" t="s">
        <v>678</v>
      </c>
      <c r="C102" s="563"/>
      <c r="D102" s="563"/>
      <c r="E102" s="564">
        <v>4.3</v>
      </c>
      <c r="F102" s="564">
        <v>8</v>
      </c>
      <c r="G102" s="564">
        <v>6.15</v>
      </c>
      <c r="H102" s="564">
        <v>1.85</v>
      </c>
      <c r="J102" s="243">
        <v>5</v>
      </c>
      <c r="K102" s="338">
        <f t="shared" si="4"/>
        <v>0.82431155464787909</v>
      </c>
      <c r="L102" s="338">
        <f t="shared" si="5"/>
        <v>0.94224873532998821</v>
      </c>
    </row>
    <row r="103" spans="1:12" s="49" customFormat="1">
      <c r="A103" s="559" t="s">
        <v>1033</v>
      </c>
      <c r="B103" s="559" t="s">
        <v>681</v>
      </c>
      <c r="C103" s="559"/>
      <c r="D103" s="559"/>
      <c r="E103" s="561">
        <v>4.3</v>
      </c>
      <c r="F103" s="561">
        <v>8.3000000000000007</v>
      </c>
      <c r="G103" s="561">
        <v>6.3</v>
      </c>
      <c r="H103" s="561">
        <v>2</v>
      </c>
      <c r="J103" s="243">
        <v>5</v>
      </c>
      <c r="K103" s="338">
        <f t="shared" si="4"/>
        <v>0.809571648667887</v>
      </c>
      <c r="L103" s="338">
        <f t="shared" si="5"/>
        <v>0.9398872670076226</v>
      </c>
    </row>
    <row r="104" spans="1:12" s="49" customFormat="1">
      <c r="A104" s="563" t="s">
        <v>682</v>
      </c>
      <c r="B104" s="563" t="s">
        <v>683</v>
      </c>
      <c r="C104" s="563"/>
      <c r="D104" s="563"/>
      <c r="E104" s="565"/>
      <c r="F104" s="565"/>
      <c r="G104" s="564">
        <v>6.3</v>
      </c>
      <c r="H104" s="564">
        <v>2</v>
      </c>
      <c r="J104" s="243">
        <v>5</v>
      </c>
      <c r="K104" s="338">
        <f t="shared" si="4"/>
        <v>0.809571648667887</v>
      </c>
      <c r="L104" s="338">
        <f t="shared" si="5"/>
        <v>0.9398872670076226</v>
      </c>
    </row>
    <row r="105" spans="1:12" s="49" customFormat="1">
      <c r="A105" s="563" t="s">
        <v>960</v>
      </c>
      <c r="B105" s="563" t="s">
        <v>684</v>
      </c>
      <c r="C105" s="563"/>
      <c r="D105" s="563"/>
      <c r="E105" s="564">
        <v>4.3</v>
      </c>
      <c r="F105" s="564">
        <v>8.4</v>
      </c>
      <c r="G105" s="564">
        <v>6.35</v>
      </c>
      <c r="H105" s="564">
        <v>2.0499999999999998</v>
      </c>
      <c r="J105" s="243">
        <v>5</v>
      </c>
      <c r="K105" s="338">
        <f t="shared" si="4"/>
        <v>0.80506261890224251</v>
      </c>
      <c r="L105" s="338">
        <f t="shared" si="5"/>
        <v>0.93928066443137359</v>
      </c>
    </row>
    <row r="106" spans="1:12" s="49" customFormat="1">
      <c r="A106" s="563" t="s">
        <v>687</v>
      </c>
      <c r="B106" s="563" t="s">
        <v>688</v>
      </c>
      <c r="C106" s="563"/>
      <c r="D106" s="563"/>
      <c r="E106" s="564"/>
      <c r="F106" s="564"/>
      <c r="G106" s="564">
        <v>5.5</v>
      </c>
      <c r="H106" s="564">
        <v>1</v>
      </c>
      <c r="J106" s="243">
        <v>5</v>
      </c>
      <c r="K106" s="338">
        <f t="shared" si="4"/>
        <v>0.88249690258459546</v>
      </c>
      <c r="L106" s="338">
        <f t="shared" si="5"/>
        <v>0.94957614205904972</v>
      </c>
    </row>
    <row r="107" spans="1:12" s="49" customFormat="1">
      <c r="A107" s="563" t="s">
        <v>679</v>
      </c>
      <c r="B107" s="563" t="s">
        <v>680</v>
      </c>
      <c r="C107" s="563"/>
      <c r="D107" s="563"/>
      <c r="E107" s="564">
        <v>4.5</v>
      </c>
      <c r="F107" s="564">
        <v>7.5</v>
      </c>
      <c r="G107" s="564">
        <v>6</v>
      </c>
      <c r="H107" s="564">
        <v>1.5</v>
      </c>
      <c r="J107" s="243">
        <v>5</v>
      </c>
      <c r="K107" s="338">
        <f t="shared" si="4"/>
        <v>0.80073740291680806</v>
      </c>
      <c r="L107" s="338">
        <f t="shared" si="5"/>
        <v>0.92600005633027915</v>
      </c>
    </row>
    <row r="108" spans="1:12" s="49" customFormat="1">
      <c r="A108" s="563" t="s">
        <v>685</v>
      </c>
      <c r="B108" s="563" t="s">
        <v>686</v>
      </c>
      <c r="C108" s="563"/>
      <c r="D108" s="563"/>
      <c r="E108" s="564"/>
      <c r="F108" s="564"/>
      <c r="G108" s="564">
        <v>6.5</v>
      </c>
      <c r="H108" s="564">
        <v>1</v>
      </c>
      <c r="J108" s="243">
        <v>5</v>
      </c>
      <c r="K108" s="338">
        <f t="shared" si="4"/>
        <v>0.32465246735834974</v>
      </c>
      <c r="L108" s="338">
        <f t="shared" si="5"/>
        <v>0.62772315743010743</v>
      </c>
    </row>
    <row r="109" spans="1:12" s="49" customFormat="1">
      <c r="A109" s="563" t="s">
        <v>694</v>
      </c>
      <c r="B109" s="52"/>
      <c r="C109" s="52"/>
      <c r="D109" s="52"/>
      <c r="E109" s="565"/>
      <c r="F109" s="565"/>
      <c r="G109" s="564">
        <v>6.5</v>
      </c>
      <c r="H109" s="564">
        <v>1</v>
      </c>
      <c r="J109" s="243">
        <v>5</v>
      </c>
      <c r="K109" s="338">
        <f t="shared" si="4"/>
        <v>0.32465246735834974</v>
      </c>
      <c r="L109" s="338">
        <f t="shared" si="5"/>
        <v>0.62772315743010743</v>
      </c>
    </row>
    <row r="110" spans="1:12" s="49" customFormat="1">
      <c r="A110" s="563" t="s">
        <v>689</v>
      </c>
      <c r="B110" s="563" t="s">
        <v>690</v>
      </c>
      <c r="C110" s="563"/>
      <c r="D110" s="563"/>
      <c r="E110" s="565"/>
      <c r="F110" s="565"/>
      <c r="G110" s="564">
        <v>6</v>
      </c>
      <c r="H110" s="564">
        <v>2</v>
      </c>
      <c r="J110" s="243">
        <v>5</v>
      </c>
      <c r="K110" s="338">
        <f t="shared" si="4"/>
        <v>0.88249690258459546</v>
      </c>
      <c r="L110" s="338">
        <f t="shared" si="5"/>
        <v>0.96398105899077491</v>
      </c>
    </row>
    <row r="111" spans="1:12" s="49" customFormat="1">
      <c r="A111" s="563" t="s">
        <v>691</v>
      </c>
      <c r="B111" s="52"/>
      <c r="C111" s="52"/>
      <c r="D111" s="52"/>
      <c r="E111" s="565"/>
      <c r="F111" s="565"/>
      <c r="G111" s="564">
        <v>6.3</v>
      </c>
      <c r="H111" s="564">
        <v>0.67500000000000004</v>
      </c>
      <c r="J111" s="243">
        <v>5</v>
      </c>
      <c r="K111" s="338">
        <f t="shared" si="4"/>
        <v>0.15651626634807</v>
      </c>
      <c r="L111" s="338">
        <f t="shared" si="5"/>
        <v>0.41870998779812385</v>
      </c>
    </row>
    <row r="112" spans="1:12" s="49" customFormat="1">
      <c r="A112" s="563" t="s">
        <v>693</v>
      </c>
      <c r="B112" s="52"/>
      <c r="C112" s="52"/>
      <c r="D112" s="52"/>
      <c r="E112" s="565"/>
      <c r="F112" s="565"/>
      <c r="G112" s="564">
        <v>6.3</v>
      </c>
      <c r="H112" s="564">
        <v>2</v>
      </c>
      <c r="J112" s="243">
        <v>5</v>
      </c>
      <c r="K112" s="338">
        <f t="shared" si="4"/>
        <v>0.809571648667887</v>
      </c>
      <c r="L112" s="338">
        <f t="shared" si="5"/>
        <v>0.9398872670076226</v>
      </c>
    </row>
    <row r="113" spans="1:12" s="49" customFormat="1">
      <c r="A113" s="563" t="s">
        <v>1032</v>
      </c>
      <c r="B113" s="563" t="s">
        <v>692</v>
      </c>
      <c r="C113" s="563"/>
      <c r="D113" s="563"/>
      <c r="E113" s="564"/>
      <c r="F113" s="564"/>
      <c r="G113" s="564">
        <v>6.65</v>
      </c>
      <c r="H113" s="564">
        <v>1.85</v>
      </c>
      <c r="J113" s="243">
        <v>5</v>
      </c>
      <c r="K113" s="338">
        <f t="shared" si="4"/>
        <v>0.6718396564446294</v>
      </c>
      <c r="L113" s="338">
        <f t="shared" si="5"/>
        <v>0.88474313020546258</v>
      </c>
    </row>
    <row r="114" spans="1:12" s="49" customFormat="1">
      <c r="A114" s="200" t="s">
        <v>732</v>
      </c>
      <c r="E114" s="54"/>
      <c r="F114" s="54">
        <v>7.5</v>
      </c>
      <c r="G114" s="560">
        <v>6.5</v>
      </c>
      <c r="H114" s="560">
        <v>1</v>
      </c>
      <c r="J114" s="243">
        <v>5</v>
      </c>
      <c r="K114" s="338">
        <f t="shared" si="4"/>
        <v>0.32465246735834974</v>
      </c>
      <c r="L114" s="338">
        <f t="shared" si="5"/>
        <v>0.62772315743010743</v>
      </c>
    </row>
    <row r="115" spans="1:12" s="49" customFormat="1">
      <c r="A115" s="563" t="s">
        <v>695</v>
      </c>
      <c r="B115" s="563" t="s">
        <v>696</v>
      </c>
      <c r="C115" s="563"/>
      <c r="D115" s="563"/>
      <c r="E115" s="564">
        <v>4.8</v>
      </c>
      <c r="F115" s="564">
        <v>8.3000000000000007</v>
      </c>
      <c r="G115" s="564">
        <v>6.55</v>
      </c>
      <c r="H115" s="564">
        <v>1.75</v>
      </c>
      <c r="J115" s="243">
        <v>5</v>
      </c>
      <c r="K115" s="338">
        <f t="shared" si="4"/>
        <v>0.67553865566313176</v>
      </c>
      <c r="L115" s="338">
        <f t="shared" si="5"/>
        <v>0.88269758132868525</v>
      </c>
    </row>
    <row r="116" spans="1:12" s="49" customFormat="1">
      <c r="A116" s="563" t="s">
        <v>697</v>
      </c>
      <c r="B116" s="52"/>
      <c r="C116" s="52"/>
      <c r="D116" s="52"/>
      <c r="E116" s="565"/>
      <c r="F116" s="565">
        <v>7</v>
      </c>
      <c r="G116" s="564">
        <v>6.25</v>
      </c>
      <c r="H116" s="564">
        <v>0.75</v>
      </c>
      <c r="J116" s="243">
        <v>5</v>
      </c>
      <c r="K116" s="338">
        <f t="shared" si="4"/>
        <v>0.24935220877729622</v>
      </c>
      <c r="L116" s="338">
        <f t="shared" si="5"/>
        <v>0.53107172613212494</v>
      </c>
    </row>
    <row r="117" spans="1:12" s="49" customFormat="1">
      <c r="A117" s="563" t="s">
        <v>698</v>
      </c>
      <c r="B117" s="52"/>
      <c r="C117" s="52"/>
      <c r="D117" s="52"/>
      <c r="E117" s="565"/>
      <c r="F117" s="565"/>
      <c r="G117" s="564">
        <v>6.25</v>
      </c>
      <c r="H117" s="564">
        <v>0.75</v>
      </c>
      <c r="J117" s="243">
        <v>5</v>
      </c>
      <c r="K117" s="338">
        <f t="shared" si="4"/>
        <v>0.24935220877729622</v>
      </c>
      <c r="L117" s="338">
        <f t="shared" si="5"/>
        <v>0.53107172613212494</v>
      </c>
    </row>
    <row r="118" spans="1:12" s="49" customFormat="1">
      <c r="A118" s="563" t="s">
        <v>968</v>
      </c>
      <c r="B118" s="563" t="s">
        <v>699</v>
      </c>
      <c r="C118" s="563"/>
      <c r="D118" s="563"/>
      <c r="E118" s="564">
        <v>4.5</v>
      </c>
      <c r="F118" s="564">
        <v>8.3000000000000007</v>
      </c>
      <c r="G118" s="564">
        <v>6.4</v>
      </c>
      <c r="H118" s="564">
        <v>1.9</v>
      </c>
      <c r="J118" s="243">
        <v>5</v>
      </c>
      <c r="K118" s="338">
        <f t="shared" si="4"/>
        <v>0.76225956558820884</v>
      </c>
      <c r="L118" s="338">
        <f t="shared" si="5"/>
        <v>0.92104578661699799</v>
      </c>
    </row>
    <row r="119" spans="1:12" s="49" customFormat="1">
      <c r="A119" s="563" t="s">
        <v>700</v>
      </c>
      <c r="B119" s="52"/>
      <c r="C119" s="52"/>
      <c r="D119" s="52"/>
      <c r="E119" s="564">
        <v>4.3</v>
      </c>
      <c r="F119" s="564">
        <v>8.6999999999999993</v>
      </c>
      <c r="G119" s="564">
        <v>6.5</v>
      </c>
      <c r="H119" s="564">
        <v>2.2000000000000002</v>
      </c>
      <c r="J119" s="243">
        <v>5</v>
      </c>
      <c r="K119" s="338">
        <f t="shared" si="4"/>
        <v>0.79259887585374178</v>
      </c>
      <c r="L119" s="338">
        <f t="shared" si="5"/>
        <v>0.93791218098243911</v>
      </c>
    </row>
    <row r="120" spans="1:12" s="49" customFormat="1">
      <c r="A120" s="563" t="s">
        <v>701</v>
      </c>
      <c r="B120" s="52"/>
      <c r="C120" s="52"/>
      <c r="D120" s="52"/>
      <c r="E120" s="565"/>
      <c r="F120" s="565"/>
      <c r="G120" s="564">
        <v>6.25</v>
      </c>
      <c r="H120" s="564">
        <v>0.75</v>
      </c>
      <c r="J120" s="243">
        <v>5</v>
      </c>
      <c r="K120" s="338">
        <f t="shared" si="4"/>
        <v>0.24935220877729622</v>
      </c>
      <c r="L120" s="338">
        <f t="shared" si="5"/>
        <v>0.53107172613212494</v>
      </c>
    </row>
    <row r="121" spans="1:12" s="49" customFormat="1">
      <c r="A121" s="563" t="s">
        <v>702</v>
      </c>
      <c r="B121" s="563" t="s">
        <v>703</v>
      </c>
      <c r="C121" s="563"/>
      <c r="D121" s="563"/>
      <c r="E121" s="565"/>
      <c r="F121" s="564">
        <v>8.6999999999999993</v>
      </c>
      <c r="G121" s="564">
        <v>6.5</v>
      </c>
      <c r="H121" s="564">
        <v>2.2000000000000002</v>
      </c>
      <c r="J121" s="243">
        <v>5</v>
      </c>
      <c r="K121" s="338">
        <f t="shared" si="4"/>
        <v>0.79259887585374178</v>
      </c>
      <c r="L121" s="338">
        <f t="shared" si="5"/>
        <v>0.93791218098243911</v>
      </c>
    </row>
    <row r="122" spans="1:12" s="49" customFormat="1">
      <c r="A122" s="563" t="s">
        <v>704</v>
      </c>
      <c r="B122" s="52"/>
      <c r="C122" s="52"/>
      <c r="D122" s="52"/>
      <c r="E122" s="565"/>
      <c r="F122" s="565"/>
      <c r="G122" s="564">
        <v>6.25</v>
      </c>
      <c r="H122" s="564">
        <v>0.75</v>
      </c>
      <c r="J122" s="243">
        <v>5</v>
      </c>
      <c r="K122" s="338">
        <f t="shared" si="4"/>
        <v>0.24935220877729622</v>
      </c>
      <c r="L122" s="338">
        <f t="shared" si="5"/>
        <v>0.53107172613212494</v>
      </c>
    </row>
    <row r="123" spans="1:12" s="49" customFormat="1">
      <c r="A123" s="563" t="s">
        <v>705</v>
      </c>
      <c r="B123" s="563" t="s">
        <v>706</v>
      </c>
      <c r="C123" s="563"/>
      <c r="D123" s="563"/>
      <c r="E123" s="564">
        <v>4.5</v>
      </c>
      <c r="F123" s="564">
        <v>8.3000000000000007</v>
      </c>
      <c r="G123" s="564">
        <v>6.4</v>
      </c>
      <c r="H123" s="564">
        <v>1.9</v>
      </c>
      <c r="J123" s="243">
        <v>5</v>
      </c>
      <c r="K123" s="338">
        <f t="shared" si="4"/>
        <v>0.76225956558820884</v>
      </c>
      <c r="L123" s="338">
        <f t="shared" si="5"/>
        <v>0.92104578661699799</v>
      </c>
    </row>
    <row r="124" spans="1:12" s="49" customFormat="1">
      <c r="A124" s="523" t="s">
        <v>393</v>
      </c>
      <c r="B124" s="523" t="s">
        <v>395</v>
      </c>
      <c r="C124" s="523"/>
      <c r="D124" s="523"/>
      <c r="E124" s="523">
        <v>5.5</v>
      </c>
      <c r="F124" s="523">
        <v>7.5</v>
      </c>
      <c r="G124" s="660">
        <v>6.5</v>
      </c>
      <c r="H124" s="523">
        <v>1</v>
      </c>
      <c r="J124" s="243">
        <v>5</v>
      </c>
      <c r="K124" s="338">
        <f t="shared" si="4"/>
        <v>0.32465246735834974</v>
      </c>
      <c r="L124" s="338">
        <f t="shared" si="5"/>
        <v>0.62772315743010743</v>
      </c>
    </row>
    <row r="125" spans="1:12" s="49" customFormat="1">
      <c r="A125" s="563" t="s">
        <v>707</v>
      </c>
      <c r="B125" s="563" t="s">
        <v>708</v>
      </c>
      <c r="C125" s="563"/>
      <c r="D125" s="563"/>
      <c r="E125" s="564">
        <v>4.3</v>
      </c>
      <c r="F125" s="564">
        <v>8.3000000000000007</v>
      </c>
      <c r="G125" s="564">
        <v>6.3</v>
      </c>
      <c r="H125" s="564">
        <v>2</v>
      </c>
      <c r="J125" s="243">
        <v>5</v>
      </c>
      <c r="K125" s="338">
        <f t="shared" si="4"/>
        <v>0.809571648667887</v>
      </c>
      <c r="L125" s="338">
        <f t="shared" si="5"/>
        <v>0.9398872670076226</v>
      </c>
    </row>
    <row r="126" spans="1:12" s="49" customFormat="1">
      <c r="A126" s="563" t="s">
        <v>709</v>
      </c>
      <c r="B126" s="52"/>
      <c r="C126" s="52"/>
      <c r="D126" s="52"/>
      <c r="E126" s="565"/>
      <c r="F126" s="565"/>
      <c r="G126" s="564">
        <v>6</v>
      </c>
      <c r="H126" s="564">
        <v>1</v>
      </c>
      <c r="J126" s="243">
        <v>5</v>
      </c>
      <c r="K126" s="338">
        <f t="shared" si="4"/>
        <v>0.60653065971263342</v>
      </c>
      <c r="L126" s="338">
        <f t="shared" si="5"/>
        <v>0.81305360173700458</v>
      </c>
    </row>
    <row r="127" spans="1:12" s="49" customFormat="1">
      <c r="A127" s="563" t="s">
        <v>712</v>
      </c>
      <c r="B127" s="563" t="s">
        <v>713</v>
      </c>
      <c r="C127" s="563"/>
      <c r="D127" s="563"/>
      <c r="E127" s="564">
        <v>4.5</v>
      </c>
      <c r="F127" s="564">
        <v>8.3000000000000007</v>
      </c>
      <c r="G127" s="564">
        <v>6.4</v>
      </c>
      <c r="H127" s="564">
        <v>1.9</v>
      </c>
      <c r="J127" s="243">
        <v>5</v>
      </c>
      <c r="K127" s="338">
        <f t="shared" si="4"/>
        <v>0.76225956558820884</v>
      </c>
      <c r="L127" s="338">
        <f t="shared" si="5"/>
        <v>0.92104578661699799</v>
      </c>
    </row>
    <row r="128" spans="1:12" s="49" customFormat="1">
      <c r="A128" s="563" t="s">
        <v>710</v>
      </c>
      <c r="B128" s="563" t="s">
        <v>711</v>
      </c>
      <c r="C128" s="563"/>
      <c r="D128" s="563"/>
      <c r="E128" s="564">
        <v>4.2</v>
      </c>
      <c r="F128" s="564">
        <v>8.6999999999999993</v>
      </c>
      <c r="G128" s="564">
        <v>6.45</v>
      </c>
      <c r="H128" s="564">
        <v>2.25</v>
      </c>
      <c r="J128" s="243">
        <v>5</v>
      </c>
      <c r="K128" s="338">
        <f t="shared" si="4"/>
        <v>0.81248784817072739</v>
      </c>
      <c r="L128" s="338">
        <f t="shared" si="5"/>
        <v>0.94516340706933799</v>
      </c>
    </row>
    <row r="129" spans="1:12" s="49" customFormat="1">
      <c r="A129" s="563" t="s">
        <v>714</v>
      </c>
      <c r="B129" s="52"/>
      <c r="C129" s="52"/>
      <c r="D129" s="52"/>
      <c r="E129" s="565"/>
      <c r="F129" s="565"/>
      <c r="G129" s="564">
        <v>6.5</v>
      </c>
      <c r="H129" s="564">
        <v>2</v>
      </c>
      <c r="J129" s="243">
        <v>5</v>
      </c>
      <c r="K129" s="338">
        <f t="shared" si="4"/>
        <v>0.75483960198900735</v>
      </c>
      <c r="L129" s="338">
        <f t="shared" si="5"/>
        <v>0.92077628741895712</v>
      </c>
    </row>
    <row r="130" spans="1:12" s="49" customFormat="1">
      <c r="A130" s="200" t="s">
        <v>715</v>
      </c>
      <c r="E130" s="54"/>
      <c r="F130" s="54"/>
      <c r="G130" s="560">
        <v>6.5</v>
      </c>
      <c r="H130" s="560">
        <v>2</v>
      </c>
      <c r="J130" s="243">
        <v>5</v>
      </c>
      <c r="K130" s="338">
        <f t="shared" si="4"/>
        <v>0.75483960198900735</v>
      </c>
      <c r="L130" s="338">
        <f t="shared" si="5"/>
        <v>0.92077628741895712</v>
      </c>
    </row>
    <row r="131" spans="1:12" s="49" customFormat="1">
      <c r="A131" s="200" t="s">
        <v>978</v>
      </c>
      <c r="E131" s="54"/>
      <c r="F131" s="54"/>
      <c r="G131" s="560">
        <v>6</v>
      </c>
      <c r="H131" s="560">
        <v>1</v>
      </c>
      <c r="J131" s="243">
        <v>5</v>
      </c>
      <c r="K131" s="338">
        <f t="shared" si="4"/>
        <v>0.60653065971263342</v>
      </c>
      <c r="L131" s="338">
        <f t="shared" si="5"/>
        <v>0.81305360173700458</v>
      </c>
    </row>
    <row r="132" spans="1:12" s="49" customFormat="1">
      <c r="A132" s="200" t="s">
        <v>716</v>
      </c>
      <c r="B132" s="200" t="s">
        <v>717</v>
      </c>
      <c r="C132" s="200"/>
      <c r="D132" s="200"/>
      <c r="E132" s="560">
        <v>4.3</v>
      </c>
      <c r="F132" s="560">
        <v>8.6999999999999993</v>
      </c>
      <c r="G132" s="560">
        <v>6.5</v>
      </c>
      <c r="H132" s="560">
        <v>2.2000000000000002</v>
      </c>
      <c r="J132" s="243">
        <v>5</v>
      </c>
      <c r="K132" s="338">
        <f t="shared" si="4"/>
        <v>0.79259887585374178</v>
      </c>
      <c r="L132" s="338">
        <f t="shared" si="5"/>
        <v>0.93791218098243911</v>
      </c>
    </row>
    <row r="133" spans="1:12" s="49" customFormat="1">
      <c r="A133" s="200" t="s">
        <v>718</v>
      </c>
      <c r="E133" s="54"/>
      <c r="F133" s="54"/>
      <c r="G133" s="560">
        <v>6.5</v>
      </c>
      <c r="H133" s="560">
        <v>2</v>
      </c>
      <c r="J133" s="243">
        <v>5</v>
      </c>
      <c r="K133" s="338">
        <f t="shared" si="4"/>
        <v>0.75483960198900735</v>
      </c>
      <c r="L133" s="338">
        <f t="shared" si="5"/>
        <v>0.92077628741895712</v>
      </c>
    </row>
    <row r="134" spans="1:12" s="49" customFormat="1">
      <c r="A134" s="200" t="s">
        <v>719</v>
      </c>
      <c r="E134" s="54"/>
      <c r="F134" s="54"/>
      <c r="G134" s="560">
        <v>6.5</v>
      </c>
      <c r="H134" s="560">
        <v>2</v>
      </c>
      <c r="J134" s="243">
        <v>5</v>
      </c>
      <c r="K134" s="338">
        <f t="shared" si="4"/>
        <v>0.75483960198900735</v>
      </c>
      <c r="L134" s="338">
        <f t="shared" si="5"/>
        <v>0.92077628741895712</v>
      </c>
    </row>
    <row r="135" spans="1:12" s="49" customFormat="1">
      <c r="A135" s="559" t="s">
        <v>720</v>
      </c>
      <c r="B135" s="559" t="s">
        <v>721</v>
      </c>
      <c r="C135" s="559"/>
      <c r="D135" s="559"/>
      <c r="E135" s="561">
        <v>4.5</v>
      </c>
      <c r="F135" s="561">
        <v>8.6</v>
      </c>
      <c r="G135" s="561">
        <v>6</v>
      </c>
      <c r="H135" s="561">
        <v>2</v>
      </c>
      <c r="J135" s="243">
        <v>5</v>
      </c>
      <c r="K135" s="338">
        <f t="shared" si="4"/>
        <v>0.88249690258459546</v>
      </c>
      <c r="L135" s="338">
        <f t="shared" si="5"/>
        <v>0.96398105899077491</v>
      </c>
    </row>
    <row r="136" spans="1:12" s="49" customFormat="1">
      <c r="A136" s="200" t="s">
        <v>722</v>
      </c>
      <c r="E136" s="54"/>
      <c r="F136" s="54"/>
      <c r="G136" s="560">
        <v>6.7</v>
      </c>
      <c r="H136" s="560">
        <v>1.5</v>
      </c>
      <c r="J136" s="243">
        <v>5</v>
      </c>
      <c r="K136" s="338">
        <f t="shared" si="4"/>
        <v>0.52612196409345646</v>
      </c>
      <c r="L136" s="338">
        <f t="shared" si="5"/>
        <v>0.80076637403629303</v>
      </c>
    </row>
    <row r="137" spans="1:12" s="49" customFormat="1">
      <c r="A137" s="200" t="s">
        <v>723</v>
      </c>
      <c r="E137" s="560"/>
      <c r="F137" s="560"/>
      <c r="G137" s="560">
        <v>6.25</v>
      </c>
      <c r="H137" s="560">
        <v>0.75</v>
      </c>
      <c r="J137" s="243">
        <v>5</v>
      </c>
      <c r="K137" s="338">
        <f t="shared" si="4"/>
        <v>0.24935220877729622</v>
      </c>
      <c r="L137" s="338">
        <f t="shared" si="5"/>
        <v>0.53107172613212494</v>
      </c>
    </row>
    <row r="138" spans="1:12" s="49" customFormat="1">
      <c r="A138" s="200" t="s">
        <v>973</v>
      </c>
      <c r="B138" s="200" t="s">
        <v>724</v>
      </c>
      <c r="C138" s="200"/>
      <c r="D138" s="200"/>
      <c r="E138" s="560">
        <v>4.3</v>
      </c>
      <c r="F138" s="560">
        <v>8.1999999999999993</v>
      </c>
      <c r="G138" s="560">
        <v>6.25</v>
      </c>
      <c r="H138" s="560">
        <v>1.95</v>
      </c>
      <c r="J138" s="243">
        <v>5</v>
      </c>
      <c r="K138" s="338">
        <f t="shared" si="4"/>
        <v>0.81427515957344221</v>
      </c>
      <c r="L138" s="338">
        <f t="shared" si="5"/>
        <v>0.94057943195661387</v>
      </c>
    </row>
    <row r="139" spans="1:12" s="49" customFormat="1">
      <c r="A139" s="200" t="s">
        <v>299</v>
      </c>
      <c r="B139" s="49" t="s">
        <v>307</v>
      </c>
      <c r="E139" s="560">
        <v>6</v>
      </c>
      <c r="F139" s="560">
        <v>7</v>
      </c>
      <c r="G139" s="560">
        <v>6.5</v>
      </c>
      <c r="H139" s="560">
        <f>(F139-E139)/2</f>
        <v>0.5</v>
      </c>
      <c r="J139" s="243">
        <v>5</v>
      </c>
      <c r="K139" s="338">
        <f t="shared" si="4"/>
        <v>1.1108996538242306E-2</v>
      </c>
      <c r="L139" s="338">
        <f t="shared" si="5"/>
        <v>0.10349704731084947</v>
      </c>
    </row>
    <row r="140" spans="1:12" s="49" customFormat="1">
      <c r="A140" s="200" t="s">
        <v>725</v>
      </c>
      <c r="B140" s="200" t="s">
        <v>726</v>
      </c>
      <c r="C140" s="200"/>
      <c r="D140" s="200"/>
      <c r="E140" s="560">
        <v>4.3</v>
      </c>
      <c r="F140" s="560">
        <v>8</v>
      </c>
      <c r="G140" s="560">
        <v>6.15</v>
      </c>
      <c r="H140" s="560">
        <v>1.85</v>
      </c>
      <c r="J140" s="243">
        <v>5</v>
      </c>
      <c r="K140" s="338">
        <f t="shared" si="4"/>
        <v>0.82431155464787909</v>
      </c>
      <c r="L140" s="338">
        <f t="shared" si="5"/>
        <v>0.94224873532998821</v>
      </c>
    </row>
    <row r="141" spans="1:12" s="49" customFormat="1">
      <c r="A141" s="200" t="s">
        <v>727</v>
      </c>
      <c r="E141" s="54"/>
      <c r="F141" s="54"/>
      <c r="G141" s="560">
        <v>6.25</v>
      </c>
      <c r="H141" s="560">
        <v>0.75</v>
      </c>
      <c r="J141" s="243">
        <v>5</v>
      </c>
      <c r="K141" s="338">
        <f t="shared" ref="K141:K182" si="6">1*EXP(-(POWER(J141-G141,2))/(2*POWER(H141,2)))</f>
        <v>0.24935220877729622</v>
      </c>
      <c r="L141" s="338">
        <f t="shared" ref="L141:L182" si="7">1*EXP(-(POWER(J141-G141,2))/(2*POWER((1.2627176*H141)+(0.29161387*H141*H141),2)))</f>
        <v>0.53107172613212494</v>
      </c>
    </row>
    <row r="142" spans="1:12" s="49" customFormat="1">
      <c r="A142" s="200" t="s">
        <v>728</v>
      </c>
      <c r="B142" s="200" t="s">
        <v>729</v>
      </c>
      <c r="C142" s="200"/>
      <c r="D142" s="200"/>
      <c r="E142" s="560">
        <v>4.5</v>
      </c>
      <c r="F142" s="560">
        <v>8.6</v>
      </c>
      <c r="G142" s="560">
        <v>6.55</v>
      </c>
      <c r="H142" s="560">
        <v>2.0499999999999998</v>
      </c>
      <c r="J142" s="243">
        <v>5</v>
      </c>
      <c r="K142" s="338">
        <f t="shared" si="6"/>
        <v>0.75138150450584096</v>
      </c>
      <c r="L142" s="338">
        <f t="shared" si="7"/>
        <v>0.92074140032736052</v>
      </c>
    </row>
    <row r="143" spans="1:12" s="49" customFormat="1">
      <c r="A143" s="200" t="s">
        <v>736</v>
      </c>
      <c r="B143" s="200" t="s">
        <v>737</v>
      </c>
      <c r="C143" s="200"/>
      <c r="D143" s="200"/>
      <c r="E143" s="560">
        <v>4.3</v>
      </c>
      <c r="F143" s="560">
        <v>8.3000000000000007</v>
      </c>
      <c r="G143" s="560">
        <v>6.3</v>
      </c>
      <c r="H143" s="560">
        <v>2</v>
      </c>
      <c r="J143" s="243">
        <v>5</v>
      </c>
      <c r="K143" s="338">
        <f t="shared" si="6"/>
        <v>0.809571648667887</v>
      </c>
      <c r="L143" s="338">
        <f t="shared" si="7"/>
        <v>0.9398872670076226</v>
      </c>
    </row>
    <row r="144" spans="1:12" s="49" customFormat="1">
      <c r="A144" s="200" t="s">
        <v>743</v>
      </c>
      <c r="B144" s="200" t="s">
        <v>744</v>
      </c>
      <c r="C144" s="200"/>
      <c r="D144" s="200"/>
      <c r="E144" s="560">
        <v>4.5</v>
      </c>
      <c r="F144" s="560">
        <v>8.3000000000000007</v>
      </c>
      <c r="G144" s="560">
        <v>6.4</v>
      </c>
      <c r="H144" s="560">
        <v>1.9</v>
      </c>
      <c r="J144" s="243">
        <v>5</v>
      </c>
      <c r="K144" s="338">
        <f t="shared" si="6"/>
        <v>0.76225956558820884</v>
      </c>
      <c r="L144" s="338">
        <f t="shared" si="7"/>
        <v>0.92104578661699799</v>
      </c>
    </row>
    <row r="145" spans="1:15" s="49" customFormat="1">
      <c r="A145" s="200" t="s">
        <v>730</v>
      </c>
      <c r="B145" s="200" t="s">
        <v>731</v>
      </c>
      <c r="C145" s="200"/>
      <c r="D145" s="200"/>
      <c r="E145" s="560">
        <v>4.5</v>
      </c>
      <c r="F145" s="560">
        <v>8.3000000000000007</v>
      </c>
      <c r="G145" s="560">
        <v>6.4</v>
      </c>
      <c r="H145" s="560">
        <v>1.9</v>
      </c>
      <c r="J145" s="243">
        <v>5</v>
      </c>
      <c r="K145" s="338">
        <f t="shared" si="6"/>
        <v>0.76225956558820884</v>
      </c>
      <c r="L145" s="338">
        <f t="shared" si="7"/>
        <v>0.92104578661699799</v>
      </c>
    </row>
    <row r="146" spans="1:15" s="49" customFormat="1">
      <c r="A146" s="200" t="s">
        <v>740</v>
      </c>
      <c r="B146" s="200" t="s">
        <v>741</v>
      </c>
      <c r="C146" s="200"/>
      <c r="D146" s="200"/>
      <c r="E146" s="560"/>
      <c r="F146" s="560"/>
      <c r="G146" s="560">
        <v>6</v>
      </c>
      <c r="H146" s="560">
        <v>1</v>
      </c>
      <c r="J146" s="243">
        <v>5</v>
      </c>
      <c r="K146" s="338">
        <f t="shared" si="6"/>
        <v>0.60653065971263342</v>
      </c>
      <c r="L146" s="338">
        <f t="shared" si="7"/>
        <v>0.81305360173700458</v>
      </c>
    </row>
    <row r="147" spans="1:15" s="49" customFormat="1">
      <c r="A147" s="200" t="s">
        <v>734</v>
      </c>
      <c r="B147" s="200" t="s">
        <v>735</v>
      </c>
      <c r="C147" s="200"/>
      <c r="D147" s="200"/>
      <c r="E147" s="560">
        <v>3.5</v>
      </c>
      <c r="F147" s="560">
        <v>7.8</v>
      </c>
      <c r="G147" s="560">
        <v>5.65</v>
      </c>
      <c r="H147" s="560">
        <v>2.15</v>
      </c>
      <c r="J147" s="243">
        <v>5</v>
      </c>
      <c r="K147" s="338">
        <f t="shared" si="6"/>
        <v>0.9553281560894733</v>
      </c>
      <c r="L147" s="338">
        <f t="shared" si="7"/>
        <v>0.98728361167647927</v>
      </c>
    </row>
    <row r="148" spans="1:15" s="49" customFormat="1">
      <c r="A148" s="200" t="s">
        <v>733</v>
      </c>
      <c r="E148" s="560"/>
      <c r="F148" s="560"/>
      <c r="G148" s="560">
        <v>6.25</v>
      </c>
      <c r="H148" s="560">
        <v>0.75</v>
      </c>
      <c r="J148" s="243">
        <v>5</v>
      </c>
      <c r="K148" s="338">
        <f t="shared" si="6"/>
        <v>0.24935220877729622</v>
      </c>
      <c r="L148" s="338">
        <f t="shared" si="7"/>
        <v>0.53107172613212494</v>
      </c>
    </row>
    <row r="149" spans="1:15" s="49" customFormat="1">
      <c r="A149" s="200" t="s">
        <v>742</v>
      </c>
      <c r="E149" s="560"/>
      <c r="F149" s="560"/>
      <c r="G149" s="560">
        <v>6.25</v>
      </c>
      <c r="H149" s="560">
        <v>0.75</v>
      </c>
      <c r="J149" s="243">
        <v>5</v>
      </c>
      <c r="K149" s="338">
        <f t="shared" si="6"/>
        <v>0.24935220877729622</v>
      </c>
      <c r="L149" s="338">
        <f t="shared" si="7"/>
        <v>0.53107172613212494</v>
      </c>
    </row>
    <row r="150" spans="1:15" s="49" customFormat="1">
      <c r="A150" s="200" t="s">
        <v>738</v>
      </c>
      <c r="B150" s="200" t="s">
        <v>739</v>
      </c>
      <c r="C150" s="200"/>
      <c r="D150" s="200"/>
      <c r="E150" s="560">
        <v>4.2</v>
      </c>
      <c r="F150" s="560">
        <v>8.3000000000000007</v>
      </c>
      <c r="G150" s="560">
        <v>6.25</v>
      </c>
      <c r="H150" s="560">
        <v>2.0499999999999998</v>
      </c>
      <c r="J150" s="243">
        <v>5</v>
      </c>
      <c r="K150" s="338">
        <f t="shared" si="6"/>
        <v>0.83035558916525942</v>
      </c>
      <c r="L150" s="338">
        <f t="shared" si="7"/>
        <v>0.9477120990458231</v>
      </c>
    </row>
    <row r="151" spans="1:15" s="49" customFormat="1">
      <c r="A151" s="563" t="s">
        <v>747</v>
      </c>
      <c r="B151" s="563" t="s">
        <v>748</v>
      </c>
      <c r="C151" s="563"/>
      <c r="D151" s="563"/>
      <c r="E151" s="564">
        <v>5</v>
      </c>
      <c r="F151" s="564">
        <v>7.5</v>
      </c>
      <c r="G151" s="564">
        <v>6.25</v>
      </c>
      <c r="H151" s="564">
        <v>1.25</v>
      </c>
      <c r="J151" s="243">
        <v>5</v>
      </c>
      <c r="K151" s="338">
        <f t="shared" si="6"/>
        <v>0.60653065971263342</v>
      </c>
      <c r="L151" s="338">
        <f t="shared" si="7"/>
        <v>0.82792778563479363</v>
      </c>
    </row>
    <row r="152" spans="1:15" s="49" customFormat="1">
      <c r="A152" s="200" t="s">
        <v>745</v>
      </c>
      <c r="B152" s="200" t="s">
        <v>746</v>
      </c>
      <c r="C152" s="200"/>
      <c r="D152" s="200"/>
      <c r="E152" s="54"/>
      <c r="F152" s="54"/>
      <c r="G152" s="560">
        <v>6</v>
      </c>
      <c r="H152" s="560">
        <v>1</v>
      </c>
      <c r="J152" s="243">
        <v>5</v>
      </c>
      <c r="K152" s="338">
        <f t="shared" si="6"/>
        <v>0.60653065971263342</v>
      </c>
      <c r="L152" s="338">
        <f t="shared" si="7"/>
        <v>0.81305360173700458</v>
      </c>
    </row>
    <row r="153" spans="1:15" s="49" customFormat="1">
      <c r="A153" s="563" t="s">
        <v>370</v>
      </c>
      <c r="B153" s="563"/>
      <c r="C153" s="563"/>
      <c r="D153" s="563"/>
      <c r="E153" s="564">
        <v>5.3</v>
      </c>
      <c r="F153" s="564">
        <v>7</v>
      </c>
      <c r="G153" s="564">
        <v>6.3</v>
      </c>
      <c r="H153" s="564">
        <v>1</v>
      </c>
      <c r="J153" s="243">
        <v>5</v>
      </c>
      <c r="K153" s="338">
        <f t="shared" si="6"/>
        <v>0.42955735821073926</v>
      </c>
      <c r="L153" s="338">
        <f t="shared" si="7"/>
        <v>0.70485763905992471</v>
      </c>
    </row>
    <row r="154" spans="1:15" s="49" customFormat="1">
      <c r="A154" s="563" t="s">
        <v>348</v>
      </c>
      <c r="B154" s="563" t="s">
        <v>749</v>
      </c>
      <c r="C154" s="563"/>
      <c r="D154" s="563"/>
      <c r="E154" s="564">
        <v>5.5</v>
      </c>
      <c r="F154" s="564">
        <v>8.4</v>
      </c>
      <c r="G154" s="564">
        <v>6.5</v>
      </c>
      <c r="H154" s="564">
        <f>(F154-E154)/2</f>
        <v>1.4500000000000002</v>
      </c>
      <c r="J154" s="243">
        <v>5</v>
      </c>
      <c r="K154" s="338">
        <f t="shared" si="6"/>
        <v>0.58562402613437758</v>
      </c>
      <c r="L154" s="338">
        <f t="shared" si="7"/>
        <v>0.8283378043591878</v>
      </c>
    </row>
    <row r="155" spans="1:15" s="49" customFormat="1">
      <c r="A155" s="563" t="s">
        <v>1027</v>
      </c>
      <c r="B155" s="52"/>
      <c r="C155" s="52"/>
      <c r="D155" s="52"/>
      <c r="E155" s="565"/>
      <c r="F155" s="564"/>
      <c r="G155" s="564">
        <v>6.85</v>
      </c>
      <c r="H155" s="564">
        <v>1.45</v>
      </c>
      <c r="J155" s="243">
        <v>5</v>
      </c>
      <c r="K155" s="338">
        <f t="shared" si="6"/>
        <v>0.44312117681520014</v>
      </c>
      <c r="L155" s="338">
        <f t="shared" si="7"/>
        <v>0.75090412974560139</v>
      </c>
    </row>
    <row r="156" spans="1:15" s="49" customFormat="1">
      <c r="A156" s="563" t="s">
        <v>752</v>
      </c>
      <c r="B156" s="52"/>
      <c r="C156" s="52"/>
      <c r="D156" s="52"/>
      <c r="E156" s="565"/>
      <c r="F156" s="565"/>
      <c r="G156" s="564">
        <v>6.5</v>
      </c>
      <c r="H156" s="564">
        <v>1</v>
      </c>
      <c r="J156" s="243">
        <v>5</v>
      </c>
      <c r="K156" s="338">
        <f t="shared" si="6"/>
        <v>0.32465246735834974</v>
      </c>
      <c r="L156" s="338">
        <f t="shared" si="7"/>
        <v>0.62772315743010743</v>
      </c>
    </row>
    <row r="157" spans="1:15" s="49" customFormat="1">
      <c r="A157" s="563" t="s">
        <v>754</v>
      </c>
      <c r="B157" s="52"/>
      <c r="C157" s="52"/>
      <c r="D157" s="52"/>
      <c r="E157" s="565"/>
      <c r="F157" s="565"/>
      <c r="G157" s="564">
        <v>6.5</v>
      </c>
      <c r="H157" s="564">
        <v>1</v>
      </c>
      <c r="J157" s="243">
        <v>5</v>
      </c>
      <c r="K157" s="338">
        <f t="shared" si="6"/>
        <v>0.32465246735834974</v>
      </c>
      <c r="L157" s="338">
        <f t="shared" si="7"/>
        <v>0.62772315743010743</v>
      </c>
    </row>
    <row r="158" spans="1:15" s="49" customFormat="1">
      <c r="A158" s="563" t="s">
        <v>753</v>
      </c>
      <c r="B158" s="52"/>
      <c r="C158" s="52"/>
      <c r="D158" s="52"/>
      <c r="E158" s="565"/>
      <c r="F158" s="565"/>
      <c r="G158" s="564">
        <v>6.3</v>
      </c>
      <c r="H158" s="564">
        <v>1</v>
      </c>
      <c r="J158" s="243">
        <v>5</v>
      </c>
      <c r="K158" s="338">
        <f t="shared" si="6"/>
        <v>0.42955735821073926</v>
      </c>
      <c r="L158" s="338">
        <f t="shared" si="7"/>
        <v>0.70485763905992471</v>
      </c>
    </row>
    <row r="159" spans="1:15" s="49" customFormat="1">
      <c r="A159" s="563" t="s">
        <v>308</v>
      </c>
      <c r="B159" s="563" t="s">
        <v>309</v>
      </c>
      <c r="C159" s="563"/>
      <c r="D159" s="563"/>
      <c r="E159" s="564">
        <v>5.8</v>
      </c>
      <c r="F159" s="564">
        <v>6.7</v>
      </c>
      <c r="G159" s="564">
        <f>AVERAGE(E159:F159)</f>
        <v>6.25</v>
      </c>
      <c r="H159" s="564">
        <f>(F159-E159)/2</f>
        <v>0.45000000000000018</v>
      </c>
      <c r="J159" s="243">
        <v>5</v>
      </c>
      <c r="K159" s="338">
        <f t="shared" si="6"/>
        <v>2.1109656453671119E-2</v>
      </c>
      <c r="L159" s="338">
        <f t="shared" si="7"/>
        <v>0.13730908064026282</v>
      </c>
      <c r="O159" s="54"/>
    </row>
    <row r="160" spans="1:15" s="49" customFormat="1">
      <c r="A160" s="678" t="s">
        <v>755</v>
      </c>
      <c r="B160" s="678" t="s">
        <v>756</v>
      </c>
      <c r="C160" s="678"/>
      <c r="D160" s="678"/>
      <c r="E160" s="680">
        <v>4.3</v>
      </c>
      <c r="F160" s="680">
        <v>8.6999999999999993</v>
      </c>
      <c r="G160" s="680">
        <v>6.5</v>
      </c>
      <c r="H160" s="680">
        <v>2.2000000000000002</v>
      </c>
      <c r="J160" s="243">
        <v>5</v>
      </c>
      <c r="K160" s="338">
        <f t="shared" si="6"/>
        <v>0.79259887585374178</v>
      </c>
      <c r="L160" s="338">
        <f t="shared" si="7"/>
        <v>0.93791218098243911</v>
      </c>
    </row>
    <row r="161" spans="1:12" s="49" customFormat="1">
      <c r="A161" s="563" t="s">
        <v>1037</v>
      </c>
      <c r="B161" s="563" t="s">
        <v>757</v>
      </c>
      <c r="C161" s="563"/>
      <c r="D161" s="563"/>
      <c r="E161" s="564">
        <v>4.3</v>
      </c>
      <c r="F161" s="564">
        <v>8.4</v>
      </c>
      <c r="G161" s="564">
        <v>6.25</v>
      </c>
      <c r="H161" s="564">
        <v>1.2</v>
      </c>
      <c r="J161" s="243">
        <v>5</v>
      </c>
      <c r="K161" s="338">
        <f t="shared" si="6"/>
        <v>0.58127301787341445</v>
      </c>
      <c r="L161" s="338">
        <f t="shared" si="7"/>
        <v>0.81170788633720103</v>
      </c>
    </row>
    <row r="162" spans="1:12" s="49" customFormat="1">
      <c r="A162" s="563" t="s">
        <v>758</v>
      </c>
      <c r="B162" s="52"/>
      <c r="C162" s="52"/>
      <c r="D162" s="52"/>
      <c r="E162" s="565"/>
      <c r="F162" s="565"/>
      <c r="G162" s="564">
        <v>6.5</v>
      </c>
      <c r="H162" s="564">
        <v>1</v>
      </c>
      <c r="J162" s="243">
        <v>5</v>
      </c>
      <c r="K162" s="338">
        <f t="shared" si="6"/>
        <v>0.32465246735834974</v>
      </c>
      <c r="L162" s="338">
        <f t="shared" si="7"/>
        <v>0.62772315743010743</v>
      </c>
    </row>
    <row r="163" spans="1:12" s="49" customFormat="1">
      <c r="A163" s="563" t="s">
        <v>759</v>
      </c>
      <c r="B163" s="52"/>
      <c r="C163" s="52"/>
      <c r="D163" s="52"/>
      <c r="E163" s="564"/>
      <c r="F163" s="564"/>
      <c r="G163" s="564">
        <v>6.5</v>
      </c>
      <c r="H163" s="564">
        <v>0.5</v>
      </c>
      <c r="J163" s="243">
        <v>5</v>
      </c>
      <c r="K163" s="338">
        <f t="shared" si="6"/>
        <v>1.1108996538242306E-2</v>
      </c>
      <c r="L163" s="338">
        <f t="shared" si="7"/>
        <v>0.10349704731084947</v>
      </c>
    </row>
    <row r="164" spans="1:12" s="49" customFormat="1">
      <c r="A164" s="563" t="s">
        <v>591</v>
      </c>
      <c r="B164" s="563" t="s">
        <v>592</v>
      </c>
      <c r="C164" s="563"/>
      <c r="D164" s="563"/>
      <c r="E164" s="565"/>
      <c r="F164" s="565"/>
      <c r="G164" s="564">
        <v>6.25</v>
      </c>
      <c r="H164" s="564">
        <v>0.75</v>
      </c>
      <c r="J164" s="243">
        <v>5</v>
      </c>
      <c r="K164" s="338">
        <f t="shared" si="6"/>
        <v>0.24935220877729622</v>
      </c>
      <c r="L164" s="338">
        <f t="shared" si="7"/>
        <v>0.53107172613212494</v>
      </c>
    </row>
    <row r="165" spans="1:12" s="49" customFormat="1">
      <c r="A165" s="563" t="s">
        <v>761</v>
      </c>
      <c r="B165" s="563" t="s">
        <v>586</v>
      </c>
      <c r="C165" s="563"/>
      <c r="D165" s="563"/>
      <c r="E165" s="564">
        <v>4.5</v>
      </c>
      <c r="F165" s="564">
        <v>8.3000000000000007</v>
      </c>
      <c r="G165" s="564">
        <v>6.4</v>
      </c>
      <c r="H165" s="564">
        <v>1.9</v>
      </c>
      <c r="J165" s="243">
        <v>5</v>
      </c>
      <c r="K165" s="338">
        <f t="shared" si="6"/>
        <v>0.76225956558820884</v>
      </c>
      <c r="L165" s="338">
        <f t="shared" si="7"/>
        <v>0.92104578661699799</v>
      </c>
    </row>
    <row r="166" spans="1:12" s="49" customFormat="1">
      <c r="A166" s="563" t="s">
        <v>760</v>
      </c>
      <c r="B166" s="52"/>
      <c r="C166" s="52"/>
      <c r="D166" s="52"/>
      <c r="E166" s="565"/>
      <c r="F166" s="565"/>
      <c r="G166" s="564">
        <v>6</v>
      </c>
      <c r="H166" s="564">
        <v>1</v>
      </c>
      <c r="J166" s="243">
        <v>5</v>
      </c>
      <c r="K166" s="338">
        <f t="shared" si="6"/>
        <v>0.60653065971263342</v>
      </c>
      <c r="L166" s="338">
        <f t="shared" si="7"/>
        <v>0.81305360173700458</v>
      </c>
    </row>
    <row r="167" spans="1:12" s="49" customFormat="1">
      <c r="A167" s="563" t="s">
        <v>750</v>
      </c>
      <c r="B167" s="563" t="s">
        <v>751</v>
      </c>
      <c r="C167" s="563"/>
      <c r="D167" s="563"/>
      <c r="E167" s="564">
        <v>4.2</v>
      </c>
      <c r="F167" s="564">
        <v>8.3000000000000007</v>
      </c>
      <c r="G167" s="564">
        <v>6.25</v>
      </c>
      <c r="H167" s="564">
        <v>2.0499999999999998</v>
      </c>
      <c r="J167" s="243">
        <v>5</v>
      </c>
      <c r="K167" s="338">
        <f t="shared" si="6"/>
        <v>0.83035558916525942</v>
      </c>
      <c r="L167" s="338">
        <f t="shared" si="7"/>
        <v>0.9477120990458231</v>
      </c>
    </row>
    <row r="168" spans="1:12" s="49" customFormat="1">
      <c r="A168" s="563" t="s">
        <v>587</v>
      </c>
      <c r="B168" s="563" t="s">
        <v>588</v>
      </c>
      <c r="C168" s="563"/>
      <c r="D168" s="563"/>
      <c r="E168" s="564">
        <v>4.3</v>
      </c>
      <c r="F168" s="564">
        <v>8.4</v>
      </c>
      <c r="G168" s="564">
        <v>6.35</v>
      </c>
      <c r="H168" s="564">
        <v>2.0499999999999998</v>
      </c>
      <c r="J168" s="243">
        <v>5</v>
      </c>
      <c r="K168" s="338">
        <f t="shared" si="6"/>
        <v>0.80506261890224251</v>
      </c>
      <c r="L168" s="338">
        <f t="shared" si="7"/>
        <v>0.93928066443137359</v>
      </c>
    </row>
    <row r="169" spans="1:12" s="49" customFormat="1">
      <c r="A169" s="563" t="s">
        <v>589</v>
      </c>
      <c r="B169" s="563" t="s">
        <v>590</v>
      </c>
      <c r="C169" s="563"/>
      <c r="D169" s="563"/>
      <c r="E169" s="564">
        <v>4.5</v>
      </c>
      <c r="F169" s="564">
        <v>8.6999999999999993</v>
      </c>
      <c r="G169" s="564">
        <v>6.6</v>
      </c>
      <c r="H169" s="564">
        <v>2.1</v>
      </c>
      <c r="J169" s="243">
        <v>5</v>
      </c>
      <c r="K169" s="338">
        <f t="shared" si="6"/>
        <v>0.74807694914774159</v>
      </c>
      <c r="L169" s="338">
        <f t="shared" si="7"/>
        <v>0.92076499259523448</v>
      </c>
    </row>
    <row r="170" spans="1:12" s="49" customFormat="1">
      <c r="A170" s="563" t="s">
        <v>593</v>
      </c>
      <c r="B170" s="563" t="s">
        <v>594</v>
      </c>
      <c r="C170" s="563"/>
      <c r="D170" s="563"/>
      <c r="E170" s="564">
        <v>4.3</v>
      </c>
      <c r="F170" s="564">
        <v>8.6999999999999993</v>
      </c>
      <c r="G170" s="564">
        <v>6.5</v>
      </c>
      <c r="H170" s="564">
        <v>2.2000000000000002</v>
      </c>
      <c r="J170" s="243">
        <v>5</v>
      </c>
      <c r="K170" s="338">
        <f t="shared" si="6"/>
        <v>0.79259887585374178</v>
      </c>
      <c r="L170" s="338">
        <f t="shared" si="7"/>
        <v>0.93791218098243911</v>
      </c>
    </row>
    <row r="171" spans="1:12" s="49" customFormat="1">
      <c r="A171" s="563" t="s">
        <v>298</v>
      </c>
      <c r="B171" s="52" t="s">
        <v>305</v>
      </c>
      <c r="C171" s="52"/>
      <c r="D171" s="52"/>
      <c r="E171" s="565">
        <v>5.5</v>
      </c>
      <c r="F171" s="565">
        <v>7</v>
      </c>
      <c r="G171" s="564">
        <v>6.25</v>
      </c>
      <c r="H171" s="564">
        <f>(F171-E171)/2</f>
        <v>0.75</v>
      </c>
      <c r="J171" s="243">
        <v>5</v>
      </c>
      <c r="K171" s="338">
        <f t="shared" si="6"/>
        <v>0.24935220877729622</v>
      </c>
      <c r="L171" s="338">
        <f t="shared" si="7"/>
        <v>0.53107172613212494</v>
      </c>
    </row>
    <row r="172" spans="1:12" s="49" customFormat="1">
      <c r="A172" s="563" t="s">
        <v>596</v>
      </c>
      <c r="B172" s="563" t="s">
        <v>597</v>
      </c>
      <c r="C172" s="563"/>
      <c r="D172" s="563"/>
      <c r="E172" s="564">
        <v>4.3</v>
      </c>
      <c r="F172" s="564">
        <v>8.6999999999999993</v>
      </c>
      <c r="G172" s="564">
        <v>6.5</v>
      </c>
      <c r="H172" s="564">
        <v>2.2000000000000002</v>
      </c>
      <c r="J172" s="243">
        <v>5</v>
      </c>
      <c r="K172" s="338">
        <f t="shared" si="6"/>
        <v>0.79259887585374178</v>
      </c>
      <c r="L172" s="338">
        <f t="shared" si="7"/>
        <v>0.93791218098243911</v>
      </c>
    </row>
    <row r="173" spans="1:12" s="49" customFormat="1">
      <c r="A173" s="563" t="s">
        <v>1038</v>
      </c>
      <c r="B173" s="563" t="s">
        <v>598</v>
      </c>
      <c r="C173" s="563"/>
      <c r="D173" s="563"/>
      <c r="E173" s="564">
        <v>4.3</v>
      </c>
      <c r="F173" s="564">
        <v>8.6999999999999993</v>
      </c>
      <c r="G173" s="564">
        <v>6.5</v>
      </c>
      <c r="H173" s="564">
        <v>2.2000000000000002</v>
      </c>
      <c r="J173" s="243">
        <v>5</v>
      </c>
      <c r="K173" s="338">
        <f t="shared" si="6"/>
        <v>0.79259887585374178</v>
      </c>
      <c r="L173" s="338">
        <f t="shared" si="7"/>
        <v>0.93791218098243911</v>
      </c>
    </row>
    <row r="174" spans="1:12" s="49" customFormat="1">
      <c r="A174" s="563" t="s">
        <v>600</v>
      </c>
      <c r="B174" s="52"/>
      <c r="C174" s="52"/>
      <c r="D174" s="52"/>
      <c r="E174" s="564"/>
      <c r="F174" s="564"/>
      <c r="G174" s="564">
        <v>6.5</v>
      </c>
      <c r="H174" s="564">
        <v>1</v>
      </c>
      <c r="J174" s="243">
        <v>5</v>
      </c>
      <c r="K174" s="338">
        <f t="shared" si="6"/>
        <v>0.32465246735834974</v>
      </c>
      <c r="L174" s="338">
        <f t="shared" si="7"/>
        <v>0.62772315743010743</v>
      </c>
    </row>
    <row r="175" spans="1:12" s="49" customFormat="1">
      <c r="A175" s="563" t="s">
        <v>595</v>
      </c>
      <c r="B175" s="52"/>
      <c r="C175" s="52"/>
      <c r="D175" s="52"/>
      <c r="E175" s="565"/>
      <c r="F175" s="565"/>
      <c r="G175" s="564">
        <v>6</v>
      </c>
      <c r="H175" s="564">
        <v>1</v>
      </c>
      <c r="J175" s="243">
        <v>5</v>
      </c>
      <c r="K175" s="338">
        <f t="shared" si="6"/>
        <v>0.60653065971263342</v>
      </c>
      <c r="L175" s="338">
        <f t="shared" si="7"/>
        <v>0.81305360173700458</v>
      </c>
    </row>
    <row r="176" spans="1:12" s="49" customFormat="1">
      <c r="A176" s="563" t="s">
        <v>599</v>
      </c>
      <c r="B176" s="52"/>
      <c r="C176" s="52"/>
      <c r="D176" s="52"/>
      <c r="E176" s="565"/>
      <c r="F176" s="565"/>
      <c r="G176" s="564">
        <v>6.5</v>
      </c>
      <c r="H176" s="564">
        <v>1</v>
      </c>
      <c r="I176"/>
      <c r="J176" s="243">
        <v>5</v>
      </c>
      <c r="K176" s="338">
        <f t="shared" si="6"/>
        <v>0.32465246735834974</v>
      </c>
      <c r="L176" s="338">
        <f t="shared" si="7"/>
        <v>0.62772315743010743</v>
      </c>
    </row>
    <row r="177" spans="1:17" s="49" customFormat="1">
      <c r="A177" s="563" t="s">
        <v>603</v>
      </c>
      <c r="B177" s="52"/>
      <c r="C177" s="52"/>
      <c r="D177" s="52"/>
      <c r="E177" s="565"/>
      <c r="F177" s="565"/>
      <c r="G177" s="564">
        <v>6.5</v>
      </c>
      <c r="H177" s="564">
        <v>1</v>
      </c>
      <c r="I177"/>
      <c r="J177" s="243">
        <v>5</v>
      </c>
      <c r="K177" s="338">
        <f t="shared" si="6"/>
        <v>0.32465246735834974</v>
      </c>
      <c r="L177" s="338">
        <f t="shared" si="7"/>
        <v>0.62772315743010743</v>
      </c>
    </row>
    <row r="178" spans="1:17" s="49" customFormat="1">
      <c r="A178" s="563" t="s">
        <v>601</v>
      </c>
      <c r="B178" s="563" t="s">
        <v>602</v>
      </c>
      <c r="C178" s="563"/>
      <c r="D178" s="563"/>
      <c r="E178" s="564"/>
      <c r="F178" s="564"/>
      <c r="G178" s="564">
        <v>6.125</v>
      </c>
      <c r="H178" s="564">
        <v>0.625</v>
      </c>
      <c r="I178"/>
      <c r="J178" s="243">
        <v>5</v>
      </c>
      <c r="K178" s="338">
        <f t="shared" si="6"/>
        <v>0.19789869908361465</v>
      </c>
      <c r="L178" s="338">
        <f t="shared" si="7"/>
        <v>0.46029933915428695</v>
      </c>
    </row>
    <row r="179" spans="1:17" s="49" customFormat="1">
      <c r="A179" s="200" t="s">
        <v>604</v>
      </c>
      <c r="B179" s="200" t="s">
        <v>605</v>
      </c>
      <c r="C179" s="200"/>
      <c r="D179" s="200"/>
      <c r="E179" s="560">
        <v>5</v>
      </c>
      <c r="F179" s="560">
        <v>8.3000000000000007</v>
      </c>
      <c r="G179" s="560">
        <v>6.65</v>
      </c>
      <c r="H179" s="560">
        <v>1.65</v>
      </c>
      <c r="I179" s="672"/>
      <c r="J179" s="243">
        <v>5</v>
      </c>
      <c r="K179" s="338">
        <f t="shared" si="6"/>
        <v>0.60653065971263331</v>
      </c>
      <c r="L179" s="338">
        <f t="shared" si="7"/>
        <v>0.84839143057097233</v>
      </c>
    </row>
    <row r="180" spans="1:17" s="49" customFormat="1">
      <c r="A180" s="200" t="s">
        <v>606</v>
      </c>
      <c r="B180" s="200" t="s">
        <v>607</v>
      </c>
      <c r="C180" s="200"/>
      <c r="D180" s="200"/>
      <c r="E180" s="560">
        <v>5.3</v>
      </c>
      <c r="F180" s="560">
        <v>8.6999999999999993</v>
      </c>
      <c r="G180" s="560">
        <v>7</v>
      </c>
      <c r="H180" s="560">
        <v>1.7</v>
      </c>
      <c r="I180" s="672"/>
      <c r="J180" s="243">
        <v>5</v>
      </c>
      <c r="K180" s="338">
        <f t="shared" si="6"/>
        <v>0.50055313476690722</v>
      </c>
      <c r="L180" s="338">
        <f t="shared" si="7"/>
        <v>0.79947233515466154</v>
      </c>
    </row>
    <row r="181" spans="1:17" s="49" customFormat="1">
      <c r="A181" s="200" t="s">
        <v>608</v>
      </c>
      <c r="G181" s="560">
        <v>6.25</v>
      </c>
      <c r="H181" s="560">
        <v>0.75</v>
      </c>
      <c r="I181" s="672"/>
      <c r="J181" s="243">
        <v>5</v>
      </c>
      <c r="K181" s="338">
        <f t="shared" si="6"/>
        <v>0.24935220877729622</v>
      </c>
      <c r="L181" s="338">
        <f t="shared" si="7"/>
        <v>0.53107172613212494</v>
      </c>
    </row>
    <row r="182" spans="1:17" s="49" customFormat="1" ht="12" thickBot="1">
      <c r="A182" s="559" t="s">
        <v>609</v>
      </c>
      <c r="B182" s="559" t="s">
        <v>610</v>
      </c>
      <c r="C182" s="559"/>
      <c r="D182" s="559"/>
      <c r="E182" s="523"/>
      <c r="F182" s="523"/>
      <c r="G182" s="561">
        <v>6.25</v>
      </c>
      <c r="H182" s="561">
        <v>0.75</v>
      </c>
      <c r="I182" s="672"/>
      <c r="J182" s="243">
        <v>5</v>
      </c>
      <c r="K182" s="338">
        <f t="shared" si="6"/>
        <v>0.24935220877729622</v>
      </c>
      <c r="L182" s="338">
        <f t="shared" si="7"/>
        <v>0.53107172613212494</v>
      </c>
    </row>
    <row r="183" spans="1:17" s="49" customFormat="1" ht="23">
      <c r="E183" s="655" t="s">
        <v>376</v>
      </c>
      <c r="F183" s="655" t="s">
        <v>373</v>
      </c>
      <c r="G183" s="655" t="s">
        <v>374</v>
      </c>
      <c r="H183" s="655" t="s">
        <v>375</v>
      </c>
      <c r="I183" s="672"/>
      <c r="J183" s="184"/>
    </row>
    <row r="184" spans="1:17" s="49" customFormat="1">
      <c r="E184"/>
      <c r="F184"/>
      <c r="G184"/>
      <c r="H184"/>
      <c r="I184"/>
    </row>
    <row r="185" spans="1:17" s="49" customFormat="1">
      <c r="E185"/>
      <c r="F185"/>
      <c r="G185"/>
      <c r="H185"/>
      <c r="I185"/>
    </row>
    <row r="186" spans="1:17" s="49" customFormat="1">
      <c r="E186"/>
      <c r="F186"/>
      <c r="G186"/>
      <c r="H186"/>
      <c r="I186"/>
    </row>
    <row r="187" spans="1:17">
      <c r="J187" s="49"/>
      <c r="K187" s="49"/>
      <c r="L187" s="49"/>
      <c r="M187" s="49"/>
      <c r="N187" s="49"/>
      <c r="O187" s="49"/>
      <c r="P187" s="49"/>
      <c r="Q187" s="49"/>
    </row>
    <row r="188" spans="1:17">
      <c r="J188" s="49"/>
      <c r="K188" s="49"/>
      <c r="L188" s="49"/>
      <c r="M188" s="49"/>
      <c r="N188" s="49"/>
      <c r="O188" s="49"/>
      <c r="P188" s="49"/>
      <c r="Q188" s="49"/>
    </row>
    <row r="189" spans="1:17">
      <c r="J189" s="49"/>
      <c r="K189" s="49"/>
      <c r="L189" s="49"/>
    </row>
  </sheetData>
  <phoneticPr fontId="0" type="noConversion"/>
  <pageMargins left="0.75" right="0.75" top="1" bottom="1" header="0.5" footer="0.5"/>
  <pageSetup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N136"/>
  <sheetViews>
    <sheetView topLeftCell="A91" workbookViewId="0">
      <selection activeCell="C37" sqref="C37"/>
    </sheetView>
  </sheetViews>
  <sheetFormatPr defaultColWidth="8.8984375" defaultRowHeight="11.5"/>
  <cols>
    <col min="1" max="1" width="9.59765625" customWidth="1"/>
    <col min="2" max="5" width="10" customWidth="1"/>
    <col min="6" max="6" width="10" style="176" customWidth="1"/>
    <col min="7" max="10" width="10" customWidth="1"/>
    <col min="11" max="13" width="10.3984375" customWidth="1"/>
  </cols>
  <sheetData>
    <row r="1" spans="1:14" ht="21.65" customHeight="1">
      <c r="A1" s="686" t="s">
        <v>412</v>
      </c>
      <c r="B1" s="686"/>
      <c r="C1" s="686"/>
      <c r="D1" s="686"/>
      <c r="E1" s="686"/>
      <c r="F1" s="686"/>
      <c r="H1" s="60"/>
      <c r="I1" s="64" t="s">
        <v>1082</v>
      </c>
      <c r="J1" s="60"/>
      <c r="K1" s="60"/>
      <c r="L1" s="60"/>
      <c r="M1" s="60"/>
      <c r="N1" s="60"/>
    </row>
    <row r="2" spans="1:14">
      <c r="A2" s="61"/>
      <c r="B2" s="61"/>
      <c r="C2" s="61"/>
      <c r="D2" s="61"/>
      <c r="E2" s="61"/>
      <c r="F2" s="139"/>
      <c r="G2" s="62"/>
      <c r="H2" s="62"/>
      <c r="I2" s="62"/>
      <c r="J2" s="62"/>
      <c r="K2" s="61"/>
      <c r="L2" s="61"/>
      <c r="M2" s="61"/>
      <c r="N2" s="61"/>
    </row>
    <row r="3" spans="1:14" ht="13">
      <c r="A3" s="63" t="s">
        <v>1073</v>
      </c>
      <c r="B3" s="61"/>
      <c r="C3" s="61"/>
      <c r="D3" s="61"/>
      <c r="E3" s="64"/>
      <c r="F3" s="139"/>
      <c r="G3" s="62"/>
      <c r="H3" s="62"/>
      <c r="I3" s="62"/>
      <c r="J3" s="62"/>
      <c r="K3" s="61"/>
      <c r="L3" s="61"/>
      <c r="M3" s="61"/>
      <c r="N3" s="61"/>
    </row>
    <row r="4" spans="1:14" ht="18.5">
      <c r="A4" s="65" t="s">
        <v>1192</v>
      </c>
      <c r="B4" s="61"/>
      <c r="C4" s="61"/>
      <c r="D4" s="61"/>
      <c r="E4" t="s">
        <v>861</v>
      </c>
      <c r="F4" s="139"/>
      <c r="G4" s="62"/>
      <c r="H4" s="62"/>
      <c r="I4" s="62"/>
      <c r="J4" s="62"/>
      <c r="K4" s="61"/>
      <c r="L4" s="61"/>
      <c r="M4" s="61"/>
      <c r="N4" s="61"/>
    </row>
    <row r="5" spans="1:14">
      <c r="A5" s="61" t="s">
        <v>1194</v>
      </c>
      <c r="B5" s="61"/>
      <c r="C5" s="61"/>
      <c r="D5" s="61"/>
      <c r="E5" s="61"/>
      <c r="F5" s="139"/>
      <c r="G5" s="61"/>
      <c r="H5" s="61"/>
      <c r="I5" s="61"/>
      <c r="J5" s="61"/>
      <c r="K5" s="61"/>
      <c r="L5" s="61"/>
      <c r="M5" s="61"/>
      <c r="N5" s="61"/>
    </row>
    <row r="6" spans="1:14">
      <c r="A6" s="61" t="s">
        <v>1195</v>
      </c>
      <c r="B6" s="61"/>
      <c r="C6" s="61"/>
      <c r="D6" s="61"/>
      <c r="E6" s="61"/>
      <c r="F6" s="139"/>
      <c r="G6" s="61"/>
      <c r="H6" s="61"/>
      <c r="I6" s="61"/>
      <c r="J6" s="61"/>
      <c r="K6" s="61"/>
      <c r="L6" s="61"/>
      <c r="M6" s="61"/>
      <c r="N6" s="61"/>
    </row>
    <row r="7" spans="1:14" ht="13">
      <c r="A7" s="66" t="s">
        <v>879</v>
      </c>
      <c r="B7" s="67">
        <v>1</v>
      </c>
      <c r="C7" s="66" t="s">
        <v>863</v>
      </c>
      <c r="D7" s="97">
        <v>161.32</v>
      </c>
      <c r="E7" s="66" t="s">
        <v>1026</v>
      </c>
      <c r="F7" s="68" t="s">
        <v>1026</v>
      </c>
      <c r="G7" s="67"/>
      <c r="H7" s="62"/>
      <c r="I7" s="62"/>
      <c r="J7" s="62"/>
      <c r="K7" s="61"/>
      <c r="L7" s="61"/>
      <c r="M7" s="61"/>
      <c r="N7" s="61"/>
    </row>
    <row r="8" spans="1:14">
      <c r="A8" s="61" t="s">
        <v>1196</v>
      </c>
      <c r="B8" s="61"/>
      <c r="C8" s="69"/>
      <c r="D8" s="61"/>
      <c r="E8" s="69"/>
      <c r="F8" s="142"/>
      <c r="G8" s="62"/>
      <c r="H8" s="62"/>
      <c r="I8" s="62"/>
      <c r="J8" s="62"/>
      <c r="K8" s="61"/>
      <c r="L8" s="61"/>
      <c r="M8" s="61"/>
      <c r="N8" s="61"/>
    </row>
    <row r="9" spans="1:14">
      <c r="A9" t="s">
        <v>1197</v>
      </c>
      <c r="F9" s="143"/>
    </row>
    <row r="10" spans="1:14" ht="13">
      <c r="A10" s="62" t="s">
        <v>167</v>
      </c>
      <c r="B10" s="61"/>
      <c r="C10" s="69"/>
      <c r="D10" s="61"/>
      <c r="E10" s="69"/>
      <c r="F10" s="142"/>
      <c r="G10" s="62"/>
      <c r="H10" s="62"/>
      <c r="I10" s="62"/>
      <c r="J10" s="62"/>
      <c r="K10" s="61"/>
      <c r="L10" s="61"/>
      <c r="M10" s="61"/>
      <c r="N10" s="61"/>
    </row>
    <row r="11" spans="1:14" s="93" customFormat="1">
      <c r="F11" s="120"/>
    </row>
    <row r="12" spans="1:14">
      <c r="F12" s="143"/>
    </row>
    <row r="13" spans="1:14" ht="13">
      <c r="A13" s="74" t="s">
        <v>1090</v>
      </c>
      <c r="F13" s="143"/>
    </row>
    <row r="14" spans="1:14">
      <c r="F14" s="143"/>
    </row>
    <row r="15" spans="1:14" s="96" customFormat="1" ht="13">
      <c r="A15" s="78" t="s">
        <v>858</v>
      </c>
      <c r="B15" s="99"/>
      <c r="C15" s="99"/>
      <c r="D15" s="99"/>
      <c r="E15" s="79" t="s">
        <v>859</v>
      </c>
      <c r="G15" s="61" t="s">
        <v>1026</v>
      </c>
      <c r="H15" s="79" t="s">
        <v>860</v>
      </c>
      <c r="I15" s="99"/>
    </row>
    <row r="16" spans="1:14" s="80" customFormat="1" ht="13">
      <c r="A16" s="78" t="s">
        <v>824</v>
      </c>
      <c r="B16" s="80" t="s">
        <v>1056</v>
      </c>
      <c r="C16" s="359" t="s">
        <v>986</v>
      </c>
      <c r="E16" s="79" t="s">
        <v>866</v>
      </c>
      <c r="F16" s="360" t="s">
        <v>1165</v>
      </c>
      <c r="G16" s="79"/>
      <c r="H16" s="79" t="s">
        <v>1057</v>
      </c>
      <c r="I16" s="359" t="s">
        <v>1176</v>
      </c>
      <c r="J16" s="359"/>
    </row>
    <row r="17" spans="1:10" s="75" customFormat="1">
      <c r="A17" s="75">
        <v>1</v>
      </c>
      <c r="B17" s="75">
        <v>45</v>
      </c>
      <c r="C17" s="75">
        <f>1.15315-0.03993*B17+0.0004438*B17*B17</f>
        <v>0.25499499999999975</v>
      </c>
      <c r="E17" s="72">
        <v>1</v>
      </c>
      <c r="F17" s="361">
        <v>1.1499999999999999</v>
      </c>
      <c r="G17" s="72"/>
      <c r="H17" s="72">
        <v>1</v>
      </c>
      <c r="I17" s="75">
        <v>0.9</v>
      </c>
      <c r="J17" s="72"/>
    </row>
    <row r="18" spans="1:10" s="75" customFormat="1">
      <c r="A18" s="75">
        <v>2</v>
      </c>
      <c r="B18" s="75">
        <v>35</v>
      </c>
      <c r="C18" s="75">
        <f>1.15315-0.03993*B18+0.0004438*B18*B18</f>
        <v>0.29925499999999983</v>
      </c>
      <c r="E18" s="75">
        <v>2</v>
      </c>
      <c r="F18" s="75">
        <v>1</v>
      </c>
      <c r="G18" s="72"/>
      <c r="H18" s="72">
        <v>2</v>
      </c>
      <c r="I18" s="75">
        <v>0.95</v>
      </c>
      <c r="J18" s="72"/>
    </row>
    <row r="19" spans="1:10" s="75" customFormat="1">
      <c r="A19" s="75">
        <v>3</v>
      </c>
      <c r="B19" s="75">
        <v>30</v>
      </c>
      <c r="C19" s="75">
        <f>1.15315-0.03993*B19+0.0004438*B19*B19</f>
        <v>0.35466999999999993</v>
      </c>
      <c r="E19" s="72">
        <v>3</v>
      </c>
      <c r="F19" s="361">
        <v>1</v>
      </c>
      <c r="G19" s="72"/>
      <c r="H19" s="72">
        <v>3</v>
      </c>
      <c r="I19" s="75">
        <v>1</v>
      </c>
      <c r="J19" s="72"/>
    </row>
    <row r="20" spans="1:10" s="75" customFormat="1" ht="14.15" customHeight="1">
      <c r="A20" s="75">
        <v>4</v>
      </c>
      <c r="B20" s="75">
        <v>25</v>
      </c>
      <c r="C20" s="75">
        <f>1.15315-0.03993*B20+0.0004438*B20*B20</f>
        <v>0.43227499999999996</v>
      </c>
      <c r="E20" s="72">
        <v>4</v>
      </c>
      <c r="F20" s="361">
        <v>0.9</v>
      </c>
      <c r="G20" s="72"/>
      <c r="H20" s="72">
        <v>4</v>
      </c>
      <c r="I20" s="75">
        <v>1.05</v>
      </c>
      <c r="J20" s="72"/>
    </row>
    <row r="21" spans="1:10" s="75" customFormat="1" ht="14.15" customHeight="1">
      <c r="A21" s="72" t="s">
        <v>1026</v>
      </c>
      <c r="B21" s="77" t="s">
        <v>1011</v>
      </c>
      <c r="E21" s="72">
        <v>5</v>
      </c>
      <c r="F21" s="361">
        <v>0.85</v>
      </c>
      <c r="G21" s="72"/>
      <c r="H21" s="75" t="s">
        <v>1010</v>
      </c>
    </row>
    <row r="22" spans="1:10" s="93" customFormat="1">
      <c r="F22" s="175"/>
    </row>
    <row r="23" spans="1:10" s="49" customFormat="1">
      <c r="F23" s="177"/>
    </row>
    <row r="24" spans="1:10" s="49" customFormat="1">
      <c r="A24" s="280" t="s">
        <v>1085</v>
      </c>
      <c r="B24" s="184"/>
      <c r="C24" s="184"/>
      <c r="D24" s="184"/>
      <c r="E24" s="184"/>
      <c r="F24" s="354"/>
      <c r="G24" s="184"/>
    </row>
    <row r="25" spans="1:10" s="49" customFormat="1">
      <c r="A25" s="280"/>
      <c r="B25" s="184"/>
      <c r="C25" s="184"/>
      <c r="D25" s="184"/>
      <c r="E25" s="184"/>
      <c r="F25" s="184"/>
      <c r="G25" s="184"/>
    </row>
    <row r="26" spans="1:10" s="152" customFormat="1">
      <c r="A26" s="299" t="s">
        <v>168</v>
      </c>
      <c r="B26" s="294" t="s">
        <v>1211</v>
      </c>
      <c r="C26" s="294" t="s">
        <v>1148</v>
      </c>
      <c r="D26" s="294" t="s">
        <v>1147</v>
      </c>
      <c r="E26" s="294" t="s">
        <v>1149</v>
      </c>
      <c r="F26" s="294" t="s">
        <v>1145</v>
      </c>
      <c r="G26" s="294" t="s">
        <v>1146</v>
      </c>
    </row>
    <row r="27" spans="1:10" s="49" customFormat="1">
      <c r="A27" s="341">
        <v>2.5</v>
      </c>
      <c r="B27" s="355">
        <f t="shared" ref="B27:G36" si="0">$B$7/(1+$D$7*EXP(-((LOOKUP(B$37,$A$17:$A$20,$C$17:$C$20)*LOOKUP(B$38,$E$17:$E$21,$F$17:$F$21))+(LOOKUP(B$37,$A$17:$A$20,$C$17:$C$20)*LOOKUP(B$38,$E$17:$E$21,$F$17:$F$21)*LOOKUP(B$39,$H$17:$H$20,$I$17:$I$20)))*$A27))</f>
        <v>2.1701892462908098E-2</v>
      </c>
      <c r="C27" s="355">
        <f t="shared" si="0"/>
        <v>2.3276883420537159E-2</v>
      </c>
      <c r="D27" s="355">
        <f t="shared" si="0"/>
        <v>2.1635300939885558E-2</v>
      </c>
      <c r="E27" s="355">
        <f t="shared" si="0"/>
        <v>4.5475592081424224E-2</v>
      </c>
      <c r="F27" s="355">
        <f t="shared" si="0"/>
        <v>5.3759285051156722E-2</v>
      </c>
      <c r="G27" s="355">
        <f t="shared" si="0"/>
        <v>4.608514645667016E-2</v>
      </c>
    </row>
    <row r="28" spans="1:10" s="49" customFormat="1">
      <c r="A28" s="341">
        <v>5</v>
      </c>
      <c r="B28" s="355">
        <f t="shared" si="0"/>
        <v>7.3546910620160666E-2</v>
      </c>
      <c r="C28" s="355">
        <f t="shared" si="0"/>
        <v>8.3931129679187477E-2</v>
      </c>
      <c r="D28" s="355">
        <f t="shared" si="0"/>
        <v>7.3119980359065792E-2</v>
      </c>
      <c r="E28" s="355">
        <f t="shared" si="0"/>
        <v>0.26802129807885045</v>
      </c>
      <c r="F28" s="355">
        <f t="shared" si="0"/>
        <v>0.3424103529153017</v>
      </c>
      <c r="G28" s="355">
        <f t="shared" si="0"/>
        <v>0.2735316718048621</v>
      </c>
    </row>
    <row r="29" spans="1:10" s="49" customFormat="1">
      <c r="A29" s="341">
        <v>7.5</v>
      </c>
      <c r="B29" s="355">
        <f t="shared" si="0"/>
        <v>0.2212382522625384</v>
      </c>
      <c r="C29" s="355">
        <f t="shared" si="0"/>
        <v>0.26048535019729113</v>
      </c>
      <c r="D29" s="355">
        <f t="shared" si="0"/>
        <v>0.21961888262059917</v>
      </c>
      <c r="E29" s="355">
        <f t="shared" si="0"/>
        <v>0.73781979269860865</v>
      </c>
      <c r="F29" s="355">
        <f t="shared" si="0"/>
        <v>0.82676023260164955</v>
      </c>
      <c r="G29" s="355">
        <f t="shared" si="0"/>
        <v>0.74583652529402233</v>
      </c>
    </row>
    <row r="30" spans="1:10" s="49" customFormat="1">
      <c r="A30" s="356">
        <v>10</v>
      </c>
      <c r="B30" s="355">
        <f t="shared" si="0"/>
        <v>0.5041274137445545</v>
      </c>
      <c r="C30" s="355">
        <f t="shared" si="0"/>
        <v>0.57522460376674689</v>
      </c>
      <c r="D30" s="355">
        <f t="shared" si="0"/>
        <v>0.50098625621959425</v>
      </c>
      <c r="E30" s="355">
        <f t="shared" si="0"/>
        <v>0.95580828516185734</v>
      </c>
      <c r="F30" s="355">
        <f t="shared" si="0"/>
        <v>0.97764829818396892</v>
      </c>
      <c r="G30" s="355">
        <f t="shared" si="0"/>
        <v>0.95810677184592019</v>
      </c>
    </row>
    <row r="31" spans="1:10" s="49" customFormat="1">
      <c r="A31" s="341">
        <v>12.5</v>
      </c>
      <c r="B31" s="355">
        <f t="shared" si="0"/>
        <v>0.78439843984543234</v>
      </c>
      <c r="C31" s="355">
        <f t="shared" si="0"/>
        <v>0.83887044260198929</v>
      </c>
      <c r="D31" s="355">
        <f t="shared" si="0"/>
        <v>0.78173037472688622</v>
      </c>
      <c r="E31" s="355">
        <f t="shared" si="0"/>
        <v>0.9940202126263229</v>
      </c>
      <c r="F31" s="355">
        <f t="shared" si="0"/>
        <v>0.99751168206263763</v>
      </c>
      <c r="G31" s="355">
        <f t="shared" si="0"/>
        <v>0.99442094546757931</v>
      </c>
    </row>
    <row r="32" spans="1:10" s="49" customFormat="1">
      <c r="A32" s="356">
        <v>15</v>
      </c>
      <c r="B32" s="355">
        <f t="shared" si="0"/>
        <v>0.92867156139130946</v>
      </c>
      <c r="C32" s="355">
        <f t="shared" si="0"/>
        <v>0.95241553257599154</v>
      </c>
      <c r="D32" s="355">
        <f t="shared" si="0"/>
        <v>0.92741295845716332</v>
      </c>
      <c r="E32" s="355">
        <f t="shared" si="0"/>
        <v>0.99921788396966449</v>
      </c>
      <c r="F32" s="355">
        <f t="shared" si="0"/>
        <v>0.9997278993212525</v>
      </c>
      <c r="G32" s="355">
        <f t="shared" si="0"/>
        <v>0.99928065331191984</v>
      </c>
    </row>
    <row r="33" spans="1:9" s="49" customFormat="1">
      <c r="A33" s="341">
        <v>17.5</v>
      </c>
      <c r="B33" s="355">
        <f t="shared" si="0"/>
        <v>0.97898819229288847</v>
      </c>
      <c r="C33" s="355">
        <f t="shared" si="0"/>
        <v>0.98717109481251131</v>
      </c>
      <c r="D33" s="355">
        <f t="shared" si="0"/>
        <v>0.9785310808117107</v>
      </c>
      <c r="E33" s="355">
        <f t="shared" si="0"/>
        <v>0.99989816730819947</v>
      </c>
      <c r="F33" s="355">
        <f t="shared" si="0"/>
        <v>0.99997030421232169</v>
      </c>
      <c r="G33" s="355">
        <f t="shared" si="0"/>
        <v>0.99990764273086485</v>
      </c>
    </row>
    <row r="34" spans="1:9" s="49" customFormat="1">
      <c r="A34" s="356">
        <v>20</v>
      </c>
      <c r="B34" s="355">
        <f t="shared" si="0"/>
        <v>0.99403824054966206</v>
      </c>
      <c r="C34" s="355">
        <f t="shared" si="0"/>
        <v>0.996631085294297</v>
      </c>
      <c r="D34" s="355">
        <f t="shared" si="0"/>
        <v>0.99388745057016892</v>
      </c>
      <c r="E34" s="355">
        <f t="shared" si="0"/>
        <v>0.99998674907611784</v>
      </c>
      <c r="F34" s="355">
        <f t="shared" si="0"/>
        <v>0.99999675984137215</v>
      </c>
      <c r="G34" s="355">
        <f t="shared" si="0"/>
        <v>0.99998814868684061</v>
      </c>
    </row>
    <row r="35" spans="1:9" s="49" customFormat="1">
      <c r="A35" s="341">
        <v>22.5</v>
      </c>
      <c r="B35" s="355">
        <f t="shared" si="0"/>
        <v>0.998326870678097</v>
      </c>
      <c r="C35" s="355">
        <f t="shared" si="0"/>
        <v>0.99912151910421909</v>
      </c>
      <c r="D35" s="355">
        <f t="shared" si="0"/>
        <v>0.99827897680781308</v>
      </c>
      <c r="E35" s="355">
        <f t="shared" si="0"/>
        <v>0.99999827586357182</v>
      </c>
      <c r="F35" s="355">
        <f t="shared" si="0"/>
        <v>0.99999964646903461</v>
      </c>
      <c r="G35" s="355">
        <f t="shared" si="0"/>
        <v>0.9999984793425758</v>
      </c>
    </row>
    <row r="36" spans="1:9" s="49" customFormat="1">
      <c r="A36" s="357">
        <v>25</v>
      </c>
      <c r="B36" s="358">
        <f t="shared" si="0"/>
        <v>0.99953189982685098</v>
      </c>
      <c r="C36" s="358">
        <f t="shared" si="0"/>
        <v>0.99977134899377429</v>
      </c>
      <c r="D36" s="358">
        <f t="shared" si="0"/>
        <v>0.99951696946035462</v>
      </c>
      <c r="E36" s="358">
        <f t="shared" si="0"/>
        <v>0.9999997756672182</v>
      </c>
      <c r="F36" s="358">
        <f t="shared" si="0"/>
        <v>0.99999996142663472</v>
      </c>
      <c r="G36" s="358">
        <f t="shared" si="0"/>
        <v>0.9999998048842228</v>
      </c>
    </row>
    <row r="37" spans="1:9" s="49" customFormat="1">
      <c r="A37" s="344" t="s">
        <v>89</v>
      </c>
      <c r="B37" s="348">
        <v>1</v>
      </c>
      <c r="C37" s="348">
        <v>2</v>
      </c>
      <c r="D37" s="348">
        <v>2</v>
      </c>
      <c r="E37" s="348">
        <v>3</v>
      </c>
      <c r="F37" s="348">
        <v>4</v>
      </c>
      <c r="G37" s="348">
        <v>4</v>
      </c>
    </row>
    <row r="38" spans="1:9" s="49" customFormat="1">
      <c r="A38" s="344" t="s">
        <v>71</v>
      </c>
      <c r="B38" s="348">
        <v>3</v>
      </c>
      <c r="C38" s="348">
        <v>4</v>
      </c>
      <c r="D38" s="348">
        <v>5</v>
      </c>
      <c r="E38" s="348">
        <v>1</v>
      </c>
      <c r="F38" s="348">
        <v>2</v>
      </c>
      <c r="G38" s="348">
        <v>2</v>
      </c>
    </row>
    <row r="39" spans="1:9" s="49" customFormat="1">
      <c r="A39" s="349" t="s">
        <v>166</v>
      </c>
      <c r="B39" s="350">
        <v>3</v>
      </c>
      <c r="C39" s="350">
        <v>3</v>
      </c>
      <c r="D39" s="350">
        <v>3</v>
      </c>
      <c r="E39" s="350">
        <v>3</v>
      </c>
      <c r="F39" s="350">
        <v>4</v>
      </c>
      <c r="G39" s="350">
        <v>1</v>
      </c>
    </row>
    <row r="40" spans="1:9" s="49" customFormat="1" ht="11.25" customHeight="1">
      <c r="A40" s="76" t="s">
        <v>1206</v>
      </c>
      <c r="B40" s="49" t="s">
        <v>764</v>
      </c>
      <c r="C40" s="49" t="s">
        <v>1139</v>
      </c>
      <c r="D40" s="49" t="s">
        <v>1139</v>
      </c>
      <c r="E40" s="49" t="s">
        <v>1141</v>
      </c>
      <c r="F40" s="49" t="s">
        <v>967</v>
      </c>
      <c r="G40" s="49" t="s">
        <v>967</v>
      </c>
    </row>
    <row r="41" spans="1:9" s="49" customFormat="1">
      <c r="A41" s="94"/>
      <c r="B41" s="49" t="s">
        <v>1040</v>
      </c>
      <c r="C41" s="49" t="s">
        <v>1040</v>
      </c>
      <c r="D41" s="49" t="s">
        <v>1140</v>
      </c>
      <c r="E41" s="49" t="s">
        <v>1140</v>
      </c>
      <c r="F41" s="49" t="s">
        <v>1142</v>
      </c>
      <c r="G41" s="49" t="s">
        <v>1142</v>
      </c>
    </row>
    <row r="42" spans="1:9" s="49" customFormat="1">
      <c r="A42" s="94"/>
      <c r="B42" s="49" t="s">
        <v>1041</v>
      </c>
      <c r="C42" s="49" t="s">
        <v>1041</v>
      </c>
      <c r="D42" s="49" t="s">
        <v>1041</v>
      </c>
      <c r="E42" s="49" t="s">
        <v>1041</v>
      </c>
      <c r="F42" s="49" t="s">
        <v>1143</v>
      </c>
      <c r="G42" s="49" t="s">
        <v>1144</v>
      </c>
    </row>
    <row r="43" spans="1:9" s="49" customFormat="1">
      <c r="A43" s="94"/>
      <c r="F43" s="177"/>
    </row>
    <row r="44" spans="1:9" s="49" customFormat="1">
      <c r="A44" s="49" t="s">
        <v>1187</v>
      </c>
      <c r="F44" s="177"/>
    </row>
    <row r="45" spans="1:9" s="153" customFormat="1">
      <c r="A45" s="119"/>
      <c r="F45" s="178"/>
    </row>
    <row r="46" spans="1:9" s="49" customFormat="1">
      <c r="A46" s="94"/>
      <c r="F46" s="177"/>
    </row>
    <row r="47" spans="1:9" s="49" customFormat="1">
      <c r="A47" s="94"/>
      <c r="F47" s="177"/>
      <c r="H47" s="154" t="s">
        <v>1188</v>
      </c>
    </row>
    <row r="48" spans="1:9" s="49" customFormat="1" ht="13">
      <c r="A48" s="85" t="s">
        <v>902</v>
      </c>
      <c r="F48" s="177"/>
      <c r="I48" s="155" t="s">
        <v>901</v>
      </c>
    </row>
    <row r="49" spans="1:13" s="49" customFormat="1">
      <c r="A49" s="89" t="s">
        <v>1100</v>
      </c>
      <c r="B49" s="89" t="s">
        <v>1099</v>
      </c>
      <c r="C49" s="89" t="s">
        <v>1109</v>
      </c>
      <c r="D49" s="89" t="s">
        <v>1110</v>
      </c>
      <c r="E49" s="89" t="s">
        <v>894</v>
      </c>
      <c r="F49" s="179" t="s">
        <v>1111</v>
      </c>
      <c r="G49" s="180" t="s">
        <v>892</v>
      </c>
      <c r="H49" s="153"/>
      <c r="I49" s="351" t="s">
        <v>870</v>
      </c>
      <c r="J49" s="352" t="s">
        <v>900</v>
      </c>
    </row>
    <row r="50" spans="1:13" s="49" customFormat="1">
      <c r="A50" s="75">
        <v>1</v>
      </c>
      <c r="B50" s="75">
        <v>1</v>
      </c>
      <c r="C50" s="75">
        <v>1</v>
      </c>
      <c r="D50" s="75">
        <v>0.25499499999999975</v>
      </c>
      <c r="E50" s="72">
        <v>1.1499999999999999</v>
      </c>
      <c r="F50" s="181">
        <v>0.9</v>
      </c>
      <c r="G50" s="182">
        <f>D50*E50*F50</f>
        <v>0.26391982499999972</v>
      </c>
      <c r="I50" s="332">
        <v>20</v>
      </c>
      <c r="J50" s="353">
        <f>$B$7/(1+$D$7*EXP(-G50*I50))</f>
        <v>0.54859772566021114</v>
      </c>
    </row>
    <row r="51" spans="1:13" s="49" customFormat="1">
      <c r="A51" s="75">
        <v>1</v>
      </c>
      <c r="B51" s="75">
        <v>1</v>
      </c>
      <c r="C51" s="75">
        <v>2</v>
      </c>
      <c r="D51" s="75">
        <v>0.25499499999999975</v>
      </c>
      <c r="E51" s="72">
        <v>1.1499999999999999</v>
      </c>
      <c r="F51" s="181">
        <v>0.95</v>
      </c>
      <c r="G51" s="182">
        <f t="shared" ref="G51:G114" si="1">D51*E51*F51</f>
        <v>0.27858203749999971</v>
      </c>
      <c r="I51" s="332">
        <v>20</v>
      </c>
      <c r="J51" s="353">
        <f t="shared" ref="J51:J114" si="2">$B$7/(1+$D$7*EXP(-G51*I51))</f>
        <v>0.61969427432509971</v>
      </c>
    </row>
    <row r="52" spans="1:13" s="75" customFormat="1">
      <c r="A52" s="75">
        <v>1</v>
      </c>
      <c r="B52" s="75">
        <v>1</v>
      </c>
      <c r="C52" s="75">
        <v>3</v>
      </c>
      <c r="D52" s="75">
        <v>0.25499499999999975</v>
      </c>
      <c r="E52" s="72">
        <v>1.1499999999999999</v>
      </c>
      <c r="F52" s="181">
        <v>1</v>
      </c>
      <c r="G52" s="182">
        <f t="shared" si="1"/>
        <v>0.29324424999999971</v>
      </c>
      <c r="H52" s="72"/>
      <c r="I52" s="332">
        <v>20</v>
      </c>
      <c r="J52" s="353">
        <f t="shared" si="2"/>
        <v>0.68600223765059676</v>
      </c>
    </row>
    <row r="53" spans="1:13" s="75" customFormat="1">
      <c r="A53" s="75">
        <v>1</v>
      </c>
      <c r="B53" s="75">
        <v>1</v>
      </c>
      <c r="C53" s="75">
        <v>4</v>
      </c>
      <c r="D53" s="75">
        <v>0.25499499999999975</v>
      </c>
      <c r="E53" s="72">
        <v>1.1499999999999999</v>
      </c>
      <c r="F53" s="181">
        <v>1.05</v>
      </c>
      <c r="G53" s="182">
        <f t="shared" si="1"/>
        <v>0.3079064624999997</v>
      </c>
      <c r="H53" s="72"/>
      <c r="I53" s="332">
        <v>20</v>
      </c>
      <c r="J53" s="353">
        <f t="shared" si="2"/>
        <v>0.74549715058648414</v>
      </c>
      <c r="K53" s="72"/>
    </row>
    <row r="54" spans="1:13" s="75" customFormat="1" ht="14.15" customHeight="1">
      <c r="A54" s="75">
        <v>1</v>
      </c>
      <c r="B54" s="75">
        <v>2</v>
      </c>
      <c r="C54" s="75">
        <v>1</v>
      </c>
      <c r="D54" s="75">
        <v>0.25499499999999975</v>
      </c>
      <c r="E54" s="72">
        <v>1</v>
      </c>
      <c r="F54" s="181">
        <v>0.9</v>
      </c>
      <c r="G54" s="182">
        <f t="shared" si="1"/>
        <v>0.22949549999999977</v>
      </c>
      <c r="H54" s="72"/>
      <c r="I54" s="332">
        <v>20</v>
      </c>
      <c r="J54" s="353">
        <f t="shared" si="2"/>
        <v>0.37907411898393661</v>
      </c>
      <c r="K54" s="72"/>
    </row>
    <row r="55" spans="1:13" s="75" customFormat="1" ht="14.15" customHeight="1">
      <c r="A55" s="75">
        <v>1</v>
      </c>
      <c r="B55" s="75">
        <v>2</v>
      </c>
      <c r="C55" s="75">
        <v>2</v>
      </c>
      <c r="D55" s="75">
        <v>0.25499499999999975</v>
      </c>
      <c r="E55" s="72">
        <v>1</v>
      </c>
      <c r="F55" s="181">
        <v>0.95</v>
      </c>
      <c r="G55" s="182">
        <f t="shared" si="1"/>
        <v>0.24224524999999975</v>
      </c>
      <c r="H55" s="72"/>
      <c r="I55" s="332">
        <v>20</v>
      </c>
      <c r="J55" s="353">
        <f t="shared" si="2"/>
        <v>0.44065973976722639</v>
      </c>
      <c r="K55" s="72"/>
    </row>
    <row r="56" spans="1:13" s="82" customFormat="1" ht="12.5">
      <c r="A56" s="75">
        <v>1</v>
      </c>
      <c r="B56" s="75">
        <v>2</v>
      </c>
      <c r="C56" s="75">
        <v>3</v>
      </c>
      <c r="D56" s="75">
        <v>0.25499499999999975</v>
      </c>
      <c r="E56" s="72">
        <v>1</v>
      </c>
      <c r="F56" s="181">
        <v>1</v>
      </c>
      <c r="G56" s="182">
        <f t="shared" si="1"/>
        <v>0.25499499999999975</v>
      </c>
      <c r="H56" s="75"/>
      <c r="I56" s="332">
        <v>20</v>
      </c>
      <c r="J56" s="353">
        <f t="shared" si="2"/>
        <v>0.5041274137445545</v>
      </c>
      <c r="K56" s="81"/>
      <c r="M56" s="75"/>
    </row>
    <row r="57" spans="1:13" s="86" customFormat="1" ht="13">
      <c r="A57" s="75">
        <v>1</v>
      </c>
      <c r="B57" s="75">
        <v>2</v>
      </c>
      <c r="C57" s="75">
        <v>4</v>
      </c>
      <c r="D57" s="75">
        <v>0.25499499999999975</v>
      </c>
      <c r="E57" s="72">
        <v>1</v>
      </c>
      <c r="F57" s="181">
        <v>1.05</v>
      </c>
      <c r="G57" s="182">
        <f t="shared" si="1"/>
        <v>0.26774474999999975</v>
      </c>
      <c r="H57" s="87"/>
      <c r="I57" s="332">
        <v>20</v>
      </c>
      <c r="J57" s="353">
        <f t="shared" si="2"/>
        <v>0.5674623502598537</v>
      </c>
      <c r="K57" s="87"/>
    </row>
    <row r="58" spans="1:13" s="75" customFormat="1">
      <c r="A58" s="75">
        <v>1</v>
      </c>
      <c r="B58" s="75">
        <v>3</v>
      </c>
      <c r="C58" s="75">
        <v>1</v>
      </c>
      <c r="D58" s="75">
        <v>0.25499499999999975</v>
      </c>
      <c r="E58" s="72">
        <v>1</v>
      </c>
      <c r="F58" s="181">
        <v>0.9</v>
      </c>
      <c r="G58" s="182">
        <f t="shared" si="1"/>
        <v>0.22949549999999977</v>
      </c>
      <c r="H58" s="72"/>
      <c r="I58" s="332">
        <v>20</v>
      </c>
      <c r="J58" s="353">
        <f t="shared" si="2"/>
        <v>0.37907411898393661</v>
      </c>
      <c r="K58" s="72"/>
      <c r="M58" s="72"/>
    </row>
    <row r="59" spans="1:13" s="75" customFormat="1">
      <c r="A59" s="75">
        <v>1</v>
      </c>
      <c r="B59" s="75">
        <v>3</v>
      </c>
      <c r="C59" s="75">
        <v>2</v>
      </c>
      <c r="D59" s="75">
        <v>0.25499499999999975</v>
      </c>
      <c r="E59" s="72">
        <v>1</v>
      </c>
      <c r="F59" s="181">
        <v>0.95</v>
      </c>
      <c r="G59" s="182">
        <f t="shared" si="1"/>
        <v>0.24224524999999975</v>
      </c>
      <c r="H59" s="72"/>
      <c r="I59" s="332">
        <v>20</v>
      </c>
      <c r="J59" s="353">
        <f t="shared" si="2"/>
        <v>0.44065973976722639</v>
      </c>
      <c r="K59" s="72"/>
      <c r="M59" s="72"/>
    </row>
    <row r="60" spans="1:13" s="75" customFormat="1">
      <c r="A60" s="75">
        <v>1</v>
      </c>
      <c r="B60" s="75">
        <v>3</v>
      </c>
      <c r="C60" s="75">
        <v>3</v>
      </c>
      <c r="D60" s="75">
        <v>0.25499499999999975</v>
      </c>
      <c r="E60" s="72">
        <v>1</v>
      </c>
      <c r="F60" s="181">
        <v>1</v>
      </c>
      <c r="G60" s="182">
        <f t="shared" si="1"/>
        <v>0.25499499999999975</v>
      </c>
      <c r="H60" s="72"/>
      <c r="I60" s="332">
        <v>20</v>
      </c>
      <c r="J60" s="353">
        <f t="shared" si="2"/>
        <v>0.5041274137445545</v>
      </c>
      <c r="K60" s="72"/>
      <c r="M60" s="72"/>
    </row>
    <row r="61" spans="1:13" s="75" customFormat="1" ht="14.15" customHeight="1">
      <c r="A61" s="75">
        <v>1</v>
      </c>
      <c r="B61" s="75">
        <v>3</v>
      </c>
      <c r="C61" s="75">
        <v>4</v>
      </c>
      <c r="D61" s="75">
        <v>0.25499499999999975</v>
      </c>
      <c r="E61" s="72">
        <v>1</v>
      </c>
      <c r="F61" s="181">
        <v>1.05</v>
      </c>
      <c r="G61" s="182">
        <f t="shared" si="1"/>
        <v>0.26774474999999975</v>
      </c>
      <c r="H61" s="72"/>
      <c r="I61" s="332">
        <v>20</v>
      </c>
      <c r="J61" s="353">
        <f t="shared" si="2"/>
        <v>0.5674623502598537</v>
      </c>
      <c r="K61" s="72"/>
      <c r="M61" s="72"/>
    </row>
    <row r="62" spans="1:13" s="75" customFormat="1" ht="14.15" customHeight="1">
      <c r="A62" s="75">
        <v>1</v>
      </c>
      <c r="B62" s="75">
        <v>4</v>
      </c>
      <c r="C62" s="75">
        <v>1</v>
      </c>
      <c r="D62" s="75">
        <v>0.25499499999999975</v>
      </c>
      <c r="E62" s="72">
        <v>0.9</v>
      </c>
      <c r="F62" s="181">
        <v>0.9</v>
      </c>
      <c r="G62" s="182">
        <f t="shared" si="1"/>
        <v>0.20654594999999978</v>
      </c>
      <c r="H62" s="72"/>
      <c r="I62" s="332">
        <v>20</v>
      </c>
      <c r="J62" s="353">
        <f t="shared" si="2"/>
        <v>0.27838816156102875</v>
      </c>
      <c r="K62" s="72"/>
    </row>
    <row r="63" spans="1:13" s="49" customFormat="1">
      <c r="A63" s="75">
        <v>1</v>
      </c>
      <c r="B63" s="75">
        <v>4</v>
      </c>
      <c r="C63" s="75">
        <v>2</v>
      </c>
      <c r="D63" s="75">
        <v>0.25499499999999975</v>
      </c>
      <c r="E63" s="72">
        <v>0.9</v>
      </c>
      <c r="F63" s="181">
        <v>0.95</v>
      </c>
      <c r="G63" s="182">
        <f t="shared" si="1"/>
        <v>0.21802072499999978</v>
      </c>
      <c r="I63" s="332">
        <v>20</v>
      </c>
      <c r="J63" s="353">
        <f t="shared" si="2"/>
        <v>0.32673810097338496</v>
      </c>
    </row>
    <row r="64" spans="1:13" s="49" customFormat="1">
      <c r="A64" s="75">
        <v>1</v>
      </c>
      <c r="B64" s="75">
        <v>4</v>
      </c>
      <c r="C64" s="75">
        <v>3</v>
      </c>
      <c r="D64" s="75">
        <v>0.25499499999999975</v>
      </c>
      <c r="E64" s="72">
        <v>0.9</v>
      </c>
      <c r="F64" s="181">
        <v>1</v>
      </c>
      <c r="G64" s="182">
        <f t="shared" si="1"/>
        <v>0.22949549999999977</v>
      </c>
      <c r="I64" s="332">
        <v>20</v>
      </c>
      <c r="J64" s="353">
        <f t="shared" si="2"/>
        <v>0.37907411898393661</v>
      </c>
    </row>
    <row r="65" spans="1:10" s="49" customFormat="1">
      <c r="A65" s="75">
        <v>1</v>
      </c>
      <c r="B65" s="75">
        <v>4</v>
      </c>
      <c r="C65" s="75">
        <v>4</v>
      </c>
      <c r="D65" s="75">
        <v>0.25499499999999975</v>
      </c>
      <c r="E65" s="72">
        <v>0.9</v>
      </c>
      <c r="F65" s="181">
        <v>1.05</v>
      </c>
      <c r="G65" s="182">
        <f t="shared" si="1"/>
        <v>0.24097027499999976</v>
      </c>
      <c r="I65" s="332">
        <v>20</v>
      </c>
      <c r="J65" s="353">
        <f t="shared" si="2"/>
        <v>0.43438449069907403</v>
      </c>
    </row>
    <row r="66" spans="1:10" s="49" customFormat="1">
      <c r="A66" s="75">
        <v>1</v>
      </c>
      <c r="B66" s="75">
        <v>5</v>
      </c>
      <c r="C66" s="75">
        <v>1</v>
      </c>
      <c r="D66" s="75">
        <v>0.25499499999999975</v>
      </c>
      <c r="E66" s="72">
        <v>0.85</v>
      </c>
      <c r="F66" s="181">
        <v>0.9</v>
      </c>
      <c r="G66" s="182">
        <f t="shared" si="1"/>
        <v>0.19507117499999982</v>
      </c>
      <c r="I66" s="332">
        <v>20</v>
      </c>
      <c r="J66" s="353">
        <f t="shared" si="2"/>
        <v>0.23469880393145692</v>
      </c>
    </row>
    <row r="67" spans="1:10" s="49" customFormat="1">
      <c r="A67" s="75">
        <v>1</v>
      </c>
      <c r="B67" s="75">
        <v>5</v>
      </c>
      <c r="C67" s="75">
        <v>2</v>
      </c>
      <c r="D67" s="75">
        <v>0.25499499999999975</v>
      </c>
      <c r="E67" s="72">
        <v>0.85</v>
      </c>
      <c r="F67" s="181">
        <v>0.95</v>
      </c>
      <c r="G67" s="182">
        <f t="shared" si="1"/>
        <v>0.20590846249999981</v>
      </c>
      <c r="I67" s="332">
        <v>20</v>
      </c>
      <c r="J67" s="353">
        <f t="shared" si="2"/>
        <v>0.27583413830042269</v>
      </c>
    </row>
    <row r="68" spans="1:10" s="49" customFormat="1">
      <c r="A68" s="75">
        <v>1</v>
      </c>
      <c r="B68" s="75">
        <v>5</v>
      </c>
      <c r="C68" s="75">
        <v>3</v>
      </c>
      <c r="D68" s="75">
        <v>0.25499499999999975</v>
      </c>
      <c r="E68" s="72">
        <v>0.85</v>
      </c>
      <c r="F68" s="181">
        <v>1</v>
      </c>
      <c r="G68" s="182">
        <f t="shared" si="1"/>
        <v>0.21674574999999979</v>
      </c>
      <c r="I68" s="332">
        <v>20</v>
      </c>
      <c r="J68" s="353">
        <f t="shared" si="2"/>
        <v>0.32115368798714994</v>
      </c>
    </row>
    <row r="69" spans="1:10" s="49" customFormat="1">
      <c r="A69" s="75">
        <v>1</v>
      </c>
      <c r="B69" s="75">
        <v>5</v>
      </c>
      <c r="C69" s="75">
        <v>4</v>
      </c>
      <c r="D69" s="75">
        <v>0.25499499999999975</v>
      </c>
      <c r="E69" s="72">
        <v>0.85</v>
      </c>
      <c r="F69" s="181">
        <v>1.05</v>
      </c>
      <c r="G69" s="182">
        <f t="shared" si="1"/>
        <v>0.22758303749999978</v>
      </c>
      <c r="I69" s="332">
        <v>20</v>
      </c>
      <c r="J69" s="353">
        <f t="shared" si="2"/>
        <v>0.37011366530396383</v>
      </c>
    </row>
    <row r="70" spans="1:10" s="49" customFormat="1">
      <c r="A70" s="75">
        <v>2</v>
      </c>
      <c r="B70" s="75">
        <v>1</v>
      </c>
      <c r="C70" s="75">
        <v>1</v>
      </c>
      <c r="D70" s="75">
        <v>0.29925499999999983</v>
      </c>
      <c r="E70" s="72">
        <v>1.1499999999999999</v>
      </c>
      <c r="F70" s="181">
        <v>0.9</v>
      </c>
      <c r="G70" s="182">
        <f t="shared" si="1"/>
        <v>0.30972892499999982</v>
      </c>
      <c r="I70" s="332">
        <v>20</v>
      </c>
      <c r="J70" s="353">
        <f t="shared" si="2"/>
        <v>0.75235062376432671</v>
      </c>
    </row>
    <row r="71" spans="1:10" s="49" customFormat="1">
      <c r="A71" s="75">
        <v>2</v>
      </c>
      <c r="B71" s="75">
        <v>1</v>
      </c>
      <c r="C71" s="75">
        <v>2</v>
      </c>
      <c r="D71" s="75">
        <v>0.29925499999999983</v>
      </c>
      <c r="E71" s="72">
        <v>1.1499999999999999</v>
      </c>
      <c r="F71" s="181">
        <v>0.95</v>
      </c>
      <c r="G71" s="182">
        <f t="shared" si="1"/>
        <v>0.32693608749999981</v>
      </c>
      <c r="I71" s="332">
        <v>20</v>
      </c>
      <c r="J71" s="353">
        <f t="shared" si="2"/>
        <v>0.81081764413582946</v>
      </c>
    </row>
    <row r="72" spans="1:10" s="49" customFormat="1">
      <c r="A72" s="75">
        <v>2</v>
      </c>
      <c r="B72" s="75">
        <v>1</v>
      </c>
      <c r="C72" s="75">
        <v>3</v>
      </c>
      <c r="D72" s="75">
        <v>0.29925499999999983</v>
      </c>
      <c r="E72" s="72">
        <v>1.1499999999999999</v>
      </c>
      <c r="F72" s="181">
        <v>1</v>
      </c>
      <c r="G72" s="182">
        <f t="shared" si="1"/>
        <v>0.34414324999999979</v>
      </c>
      <c r="I72" s="332">
        <v>20</v>
      </c>
      <c r="J72" s="353">
        <f t="shared" si="2"/>
        <v>0.85808501883120647</v>
      </c>
    </row>
    <row r="73" spans="1:10" s="49" customFormat="1">
      <c r="A73" s="75">
        <v>2</v>
      </c>
      <c r="B73" s="75">
        <v>1</v>
      </c>
      <c r="C73" s="75">
        <v>4</v>
      </c>
      <c r="D73" s="75">
        <v>0.29925499999999983</v>
      </c>
      <c r="E73" s="72">
        <v>1.1499999999999999</v>
      </c>
      <c r="F73" s="181">
        <v>1.05</v>
      </c>
      <c r="G73" s="182">
        <f t="shared" si="1"/>
        <v>0.36135041249999977</v>
      </c>
      <c r="I73" s="332">
        <v>20</v>
      </c>
      <c r="J73" s="353">
        <f t="shared" si="2"/>
        <v>0.89507092169216662</v>
      </c>
    </row>
    <row r="74" spans="1:10" s="49" customFormat="1">
      <c r="A74" s="75">
        <v>2</v>
      </c>
      <c r="B74" s="75">
        <v>2</v>
      </c>
      <c r="C74" s="75">
        <v>1</v>
      </c>
      <c r="D74" s="75">
        <v>0.29925499999999983</v>
      </c>
      <c r="E74" s="72">
        <v>1</v>
      </c>
      <c r="F74" s="181">
        <v>0.9</v>
      </c>
      <c r="G74" s="182">
        <f t="shared" si="1"/>
        <v>0.26932949999999983</v>
      </c>
      <c r="I74" s="332">
        <v>20</v>
      </c>
      <c r="J74" s="353">
        <f t="shared" si="2"/>
        <v>0.57522460376674689</v>
      </c>
    </row>
    <row r="75" spans="1:10" s="49" customFormat="1">
      <c r="A75" s="75">
        <v>2</v>
      </c>
      <c r="B75" s="75">
        <v>2</v>
      </c>
      <c r="C75" s="75">
        <v>2</v>
      </c>
      <c r="D75" s="75">
        <v>0.29925499999999983</v>
      </c>
      <c r="E75" s="72">
        <v>1</v>
      </c>
      <c r="F75" s="181">
        <v>0.95</v>
      </c>
      <c r="G75" s="182">
        <f t="shared" si="1"/>
        <v>0.2842922499999998</v>
      </c>
      <c r="I75" s="332">
        <v>20</v>
      </c>
      <c r="J75" s="353">
        <f t="shared" si="2"/>
        <v>0.64621777733966079</v>
      </c>
    </row>
    <row r="76" spans="1:10" s="49" customFormat="1">
      <c r="A76" s="75">
        <v>2</v>
      </c>
      <c r="B76" s="75">
        <v>2</v>
      </c>
      <c r="C76" s="75">
        <v>3</v>
      </c>
      <c r="D76" s="75">
        <v>0.29925499999999983</v>
      </c>
      <c r="E76" s="72">
        <v>1</v>
      </c>
      <c r="F76" s="181">
        <v>1</v>
      </c>
      <c r="G76" s="182">
        <f t="shared" si="1"/>
        <v>0.29925499999999983</v>
      </c>
      <c r="I76" s="332">
        <v>20</v>
      </c>
      <c r="J76" s="353">
        <f t="shared" si="2"/>
        <v>0.71130078750991499</v>
      </c>
    </row>
    <row r="77" spans="1:10" s="49" customFormat="1">
      <c r="A77" s="75">
        <v>2</v>
      </c>
      <c r="B77" s="75">
        <v>2</v>
      </c>
      <c r="C77" s="75">
        <v>4</v>
      </c>
      <c r="D77" s="75">
        <v>0.29925499999999983</v>
      </c>
      <c r="E77" s="72">
        <v>1</v>
      </c>
      <c r="F77" s="181">
        <v>1.05</v>
      </c>
      <c r="G77" s="182">
        <f t="shared" si="1"/>
        <v>0.31421774999999985</v>
      </c>
      <c r="I77" s="332">
        <v>20</v>
      </c>
      <c r="J77" s="353">
        <f t="shared" si="2"/>
        <v>0.76869641248185017</v>
      </c>
    </row>
    <row r="78" spans="1:10" s="49" customFormat="1">
      <c r="A78" s="75">
        <v>2</v>
      </c>
      <c r="B78" s="75">
        <v>3</v>
      </c>
      <c r="C78" s="75">
        <v>1</v>
      </c>
      <c r="D78" s="75">
        <v>0.29925499999999983</v>
      </c>
      <c r="E78" s="72">
        <v>1</v>
      </c>
      <c r="F78" s="181">
        <v>0.9</v>
      </c>
      <c r="G78" s="182">
        <f t="shared" si="1"/>
        <v>0.26932949999999983</v>
      </c>
      <c r="I78" s="332">
        <v>20</v>
      </c>
      <c r="J78" s="353">
        <f t="shared" si="2"/>
        <v>0.57522460376674689</v>
      </c>
    </row>
    <row r="79" spans="1:10" s="49" customFormat="1">
      <c r="A79" s="75">
        <v>2</v>
      </c>
      <c r="B79" s="75">
        <v>3</v>
      </c>
      <c r="C79" s="75">
        <v>2</v>
      </c>
      <c r="D79" s="75">
        <v>0.29925499999999983</v>
      </c>
      <c r="E79" s="72">
        <v>1</v>
      </c>
      <c r="F79" s="181">
        <v>0.95</v>
      </c>
      <c r="G79" s="182">
        <f t="shared" si="1"/>
        <v>0.2842922499999998</v>
      </c>
      <c r="I79" s="332">
        <v>20</v>
      </c>
      <c r="J79" s="353">
        <f t="shared" si="2"/>
        <v>0.64621777733966079</v>
      </c>
    </row>
    <row r="80" spans="1:10" s="49" customFormat="1">
      <c r="A80" s="75">
        <v>2</v>
      </c>
      <c r="B80" s="75">
        <v>3</v>
      </c>
      <c r="C80" s="75">
        <v>3</v>
      </c>
      <c r="D80" s="75">
        <v>0.29925499999999983</v>
      </c>
      <c r="E80" s="72">
        <v>1</v>
      </c>
      <c r="F80" s="181">
        <v>1</v>
      </c>
      <c r="G80" s="182">
        <f t="shared" si="1"/>
        <v>0.29925499999999983</v>
      </c>
      <c r="I80" s="332">
        <v>20</v>
      </c>
      <c r="J80" s="353">
        <f t="shared" si="2"/>
        <v>0.71130078750991499</v>
      </c>
    </row>
    <row r="81" spans="1:10" s="49" customFormat="1">
      <c r="A81" s="75">
        <v>2</v>
      </c>
      <c r="B81" s="75">
        <v>3</v>
      </c>
      <c r="C81" s="75">
        <v>4</v>
      </c>
      <c r="D81" s="75">
        <v>0.29925499999999983</v>
      </c>
      <c r="E81" s="72">
        <v>1</v>
      </c>
      <c r="F81" s="181">
        <v>1.05</v>
      </c>
      <c r="G81" s="182">
        <f t="shared" si="1"/>
        <v>0.31421774999999985</v>
      </c>
      <c r="I81" s="332">
        <v>20</v>
      </c>
      <c r="J81" s="353">
        <f t="shared" si="2"/>
        <v>0.76869641248185017</v>
      </c>
    </row>
    <row r="82" spans="1:10" s="49" customFormat="1">
      <c r="A82" s="75">
        <v>2</v>
      </c>
      <c r="B82" s="75">
        <v>4</v>
      </c>
      <c r="C82" s="75">
        <v>1</v>
      </c>
      <c r="D82" s="75">
        <v>0.29925499999999983</v>
      </c>
      <c r="E82" s="72">
        <v>0.9</v>
      </c>
      <c r="F82" s="181">
        <v>0.9</v>
      </c>
      <c r="G82" s="182">
        <f t="shared" si="1"/>
        <v>0.24239654999999985</v>
      </c>
      <c r="I82" s="332">
        <v>20</v>
      </c>
      <c r="J82" s="353">
        <f t="shared" si="2"/>
        <v>0.44140571779614257</v>
      </c>
    </row>
    <row r="83" spans="1:10" s="49" customFormat="1">
      <c r="A83" s="75">
        <v>2</v>
      </c>
      <c r="B83" s="75">
        <v>4</v>
      </c>
      <c r="C83" s="75">
        <v>2</v>
      </c>
      <c r="D83" s="75">
        <v>0.29925499999999983</v>
      </c>
      <c r="E83" s="72">
        <v>0.9</v>
      </c>
      <c r="F83" s="181">
        <v>0.95</v>
      </c>
      <c r="G83" s="182">
        <f t="shared" si="1"/>
        <v>0.25586302499999986</v>
      </c>
      <c r="I83" s="332">
        <v>20</v>
      </c>
      <c r="J83" s="353">
        <f t="shared" si="2"/>
        <v>0.50846682307686464</v>
      </c>
    </row>
    <row r="84" spans="1:10" s="49" customFormat="1">
      <c r="A84" s="75">
        <v>2</v>
      </c>
      <c r="B84" s="75">
        <v>4</v>
      </c>
      <c r="C84" s="75">
        <v>3</v>
      </c>
      <c r="D84" s="75">
        <v>0.29925499999999983</v>
      </c>
      <c r="E84" s="72">
        <v>0.9</v>
      </c>
      <c r="F84" s="181">
        <v>1</v>
      </c>
      <c r="G84" s="182">
        <f t="shared" si="1"/>
        <v>0.26932949999999983</v>
      </c>
      <c r="I84" s="332">
        <v>20</v>
      </c>
      <c r="J84" s="353">
        <f t="shared" si="2"/>
        <v>0.57522460376674689</v>
      </c>
    </row>
    <row r="85" spans="1:10" s="49" customFormat="1">
      <c r="A85" s="75">
        <v>2</v>
      </c>
      <c r="B85" s="75">
        <v>4</v>
      </c>
      <c r="C85" s="75">
        <v>4</v>
      </c>
      <c r="D85" s="75">
        <v>0.29925499999999983</v>
      </c>
      <c r="E85" s="72">
        <v>0.9</v>
      </c>
      <c r="F85" s="181">
        <v>1.05</v>
      </c>
      <c r="G85" s="182">
        <f t="shared" si="1"/>
        <v>0.28279597499999981</v>
      </c>
      <c r="I85" s="332">
        <v>20</v>
      </c>
      <c r="J85" s="353">
        <f t="shared" si="2"/>
        <v>0.6393466458814796</v>
      </c>
    </row>
    <row r="86" spans="1:10" s="49" customFormat="1">
      <c r="A86" s="75">
        <v>2</v>
      </c>
      <c r="B86" s="75">
        <v>5</v>
      </c>
      <c r="C86" s="75">
        <v>1</v>
      </c>
      <c r="D86" s="75">
        <v>0.29925499999999983</v>
      </c>
      <c r="E86" s="72">
        <v>0.85</v>
      </c>
      <c r="F86" s="181">
        <v>0.9</v>
      </c>
      <c r="G86" s="182">
        <f t="shared" si="1"/>
        <v>0.22893007499999987</v>
      </c>
      <c r="I86" s="332">
        <v>20</v>
      </c>
      <c r="J86" s="353">
        <f t="shared" si="2"/>
        <v>0.37641602220482745</v>
      </c>
    </row>
    <row r="87" spans="1:10" s="49" customFormat="1">
      <c r="A87" s="75">
        <v>2</v>
      </c>
      <c r="B87" s="75">
        <v>5</v>
      </c>
      <c r="C87" s="75">
        <v>2</v>
      </c>
      <c r="D87" s="75">
        <v>0.29925499999999983</v>
      </c>
      <c r="E87" s="72">
        <v>0.85</v>
      </c>
      <c r="F87" s="181">
        <v>0.95</v>
      </c>
      <c r="G87" s="182">
        <f t="shared" si="1"/>
        <v>0.24164841249999985</v>
      </c>
      <c r="I87" s="332">
        <v>20</v>
      </c>
      <c r="J87" s="353">
        <f t="shared" si="2"/>
        <v>0.43771970217076278</v>
      </c>
    </row>
    <row r="88" spans="1:10" s="49" customFormat="1">
      <c r="A88" s="75">
        <v>2</v>
      </c>
      <c r="B88" s="75">
        <v>5</v>
      </c>
      <c r="C88" s="75">
        <v>3</v>
      </c>
      <c r="D88" s="75">
        <v>0.29925499999999983</v>
      </c>
      <c r="E88" s="72">
        <v>0.85</v>
      </c>
      <c r="F88" s="181">
        <v>1</v>
      </c>
      <c r="G88" s="182">
        <f t="shared" si="1"/>
        <v>0.25436674999999986</v>
      </c>
      <c r="I88" s="332">
        <v>20</v>
      </c>
      <c r="J88" s="353">
        <f t="shared" si="2"/>
        <v>0.50098625621959425</v>
      </c>
    </row>
    <row r="89" spans="1:10" s="49" customFormat="1">
      <c r="A89" s="75">
        <v>2</v>
      </c>
      <c r="B89" s="75">
        <v>5</v>
      </c>
      <c r="C89" s="75">
        <v>4</v>
      </c>
      <c r="D89" s="75">
        <v>0.29925499999999983</v>
      </c>
      <c r="E89" s="72">
        <v>0.85</v>
      </c>
      <c r="F89" s="181">
        <v>1.05</v>
      </c>
      <c r="G89" s="182">
        <f t="shared" si="1"/>
        <v>0.26708508749999987</v>
      </c>
      <c r="I89" s="332">
        <v>20</v>
      </c>
      <c r="J89" s="353">
        <f t="shared" si="2"/>
        <v>0.56422124474057811</v>
      </c>
    </row>
    <row r="90" spans="1:10" s="49" customFormat="1">
      <c r="A90" s="75">
        <v>3</v>
      </c>
      <c r="B90" s="75">
        <v>1</v>
      </c>
      <c r="C90" s="75">
        <v>1</v>
      </c>
      <c r="D90" s="75">
        <v>0.35466999999999993</v>
      </c>
      <c r="E90" s="72">
        <v>1.1499999999999999</v>
      </c>
      <c r="F90" s="181">
        <v>0.9</v>
      </c>
      <c r="G90" s="182">
        <f t="shared" si="1"/>
        <v>0.36708344999999992</v>
      </c>
      <c r="I90" s="332">
        <v>20</v>
      </c>
      <c r="J90" s="353">
        <f t="shared" si="2"/>
        <v>0.90536227872263364</v>
      </c>
    </row>
    <row r="91" spans="1:10" s="49" customFormat="1">
      <c r="A91" s="75">
        <v>3</v>
      </c>
      <c r="B91" s="75">
        <v>1</v>
      </c>
      <c r="C91" s="75">
        <v>2</v>
      </c>
      <c r="D91" s="75">
        <v>0.35466999999999993</v>
      </c>
      <c r="E91" s="72">
        <v>1.1499999999999999</v>
      </c>
      <c r="F91" s="181">
        <v>0.95</v>
      </c>
      <c r="G91" s="182">
        <f t="shared" si="1"/>
        <v>0.38747697499999989</v>
      </c>
      <c r="I91" s="332">
        <v>20</v>
      </c>
      <c r="J91" s="353">
        <f t="shared" si="2"/>
        <v>0.93499940869332065</v>
      </c>
    </row>
    <row r="92" spans="1:10" s="49" customFormat="1">
      <c r="A92" s="75">
        <v>3</v>
      </c>
      <c r="B92" s="75">
        <v>1</v>
      </c>
      <c r="C92" s="75">
        <v>3</v>
      </c>
      <c r="D92" s="75">
        <v>0.35466999999999993</v>
      </c>
      <c r="E92" s="72">
        <v>1.1499999999999999</v>
      </c>
      <c r="F92" s="181">
        <v>1</v>
      </c>
      <c r="G92" s="182">
        <f t="shared" si="1"/>
        <v>0.40787049999999991</v>
      </c>
      <c r="I92" s="332">
        <v>20</v>
      </c>
      <c r="J92" s="353">
        <f t="shared" si="2"/>
        <v>0.95580828516185734</v>
      </c>
    </row>
    <row r="93" spans="1:10" s="49" customFormat="1">
      <c r="A93" s="75">
        <v>3</v>
      </c>
      <c r="B93" s="75">
        <v>1</v>
      </c>
      <c r="C93" s="75">
        <v>4</v>
      </c>
      <c r="D93" s="75">
        <v>0.35466999999999993</v>
      </c>
      <c r="E93" s="72">
        <v>1.1499999999999999</v>
      </c>
      <c r="F93" s="181">
        <v>1.05</v>
      </c>
      <c r="G93" s="182">
        <f t="shared" si="1"/>
        <v>0.42826402499999994</v>
      </c>
      <c r="I93" s="332">
        <v>20</v>
      </c>
      <c r="J93" s="353">
        <f t="shared" si="2"/>
        <v>0.97016808452498138</v>
      </c>
    </row>
    <row r="94" spans="1:10" s="49" customFormat="1">
      <c r="A94" s="75">
        <v>3</v>
      </c>
      <c r="B94" s="75">
        <v>2</v>
      </c>
      <c r="C94" s="75">
        <v>1</v>
      </c>
      <c r="D94" s="75">
        <v>0.35466999999999993</v>
      </c>
      <c r="E94" s="72">
        <v>1</v>
      </c>
      <c r="F94" s="181">
        <v>0.9</v>
      </c>
      <c r="G94" s="182">
        <f t="shared" si="1"/>
        <v>0.31920299999999996</v>
      </c>
      <c r="I94" s="332">
        <v>20</v>
      </c>
      <c r="J94" s="353">
        <f t="shared" si="2"/>
        <v>0.78594772639689292</v>
      </c>
    </row>
    <row r="95" spans="1:10" s="49" customFormat="1">
      <c r="A95" s="75">
        <v>3</v>
      </c>
      <c r="B95" s="75">
        <v>2</v>
      </c>
      <c r="C95" s="75">
        <v>2</v>
      </c>
      <c r="D95" s="75">
        <v>0.35466999999999993</v>
      </c>
      <c r="E95" s="72">
        <v>1</v>
      </c>
      <c r="F95" s="181">
        <v>0.95</v>
      </c>
      <c r="G95" s="182">
        <f t="shared" si="1"/>
        <v>0.33693649999999992</v>
      </c>
      <c r="I95" s="332">
        <v>20</v>
      </c>
      <c r="J95" s="353">
        <f t="shared" si="2"/>
        <v>0.83961146528968855</v>
      </c>
    </row>
    <row r="96" spans="1:10" s="49" customFormat="1">
      <c r="A96" s="75">
        <v>3</v>
      </c>
      <c r="B96" s="75">
        <v>2</v>
      </c>
      <c r="C96" s="75">
        <v>3</v>
      </c>
      <c r="D96" s="75">
        <v>0.35466999999999993</v>
      </c>
      <c r="E96" s="72">
        <v>1</v>
      </c>
      <c r="F96" s="181">
        <v>1</v>
      </c>
      <c r="G96" s="182">
        <f t="shared" si="1"/>
        <v>0.35466999999999993</v>
      </c>
      <c r="I96" s="332">
        <v>20</v>
      </c>
      <c r="J96" s="353">
        <f t="shared" si="2"/>
        <v>0.88184406727113052</v>
      </c>
    </row>
    <row r="97" spans="1:10" s="49" customFormat="1">
      <c r="A97" s="75">
        <v>3</v>
      </c>
      <c r="B97" s="75">
        <v>2</v>
      </c>
      <c r="C97" s="75">
        <v>4</v>
      </c>
      <c r="D97" s="75">
        <v>0.35466999999999993</v>
      </c>
      <c r="E97" s="72">
        <v>1</v>
      </c>
      <c r="F97" s="181">
        <v>1.05</v>
      </c>
      <c r="G97" s="182">
        <f t="shared" si="1"/>
        <v>0.37240349999999994</v>
      </c>
      <c r="I97" s="332">
        <v>20</v>
      </c>
      <c r="J97" s="353">
        <f t="shared" si="2"/>
        <v>0.91409402311825694</v>
      </c>
    </row>
    <row r="98" spans="1:10" s="49" customFormat="1">
      <c r="A98" s="75">
        <v>3</v>
      </c>
      <c r="B98" s="75">
        <v>3</v>
      </c>
      <c r="C98" s="75">
        <v>1</v>
      </c>
      <c r="D98" s="75">
        <v>0.35466999999999993</v>
      </c>
      <c r="E98" s="72">
        <v>1</v>
      </c>
      <c r="F98" s="181">
        <v>0.9</v>
      </c>
      <c r="G98" s="182">
        <f t="shared" si="1"/>
        <v>0.31920299999999996</v>
      </c>
      <c r="I98" s="332">
        <v>20</v>
      </c>
      <c r="J98" s="353">
        <f t="shared" si="2"/>
        <v>0.78594772639689292</v>
      </c>
    </row>
    <row r="99" spans="1:10" s="49" customFormat="1">
      <c r="A99" s="75">
        <v>3</v>
      </c>
      <c r="B99" s="75">
        <v>3</v>
      </c>
      <c r="C99" s="75">
        <v>2</v>
      </c>
      <c r="D99" s="75">
        <v>0.35466999999999993</v>
      </c>
      <c r="E99" s="72">
        <v>1</v>
      </c>
      <c r="F99" s="181">
        <v>0.95</v>
      </c>
      <c r="G99" s="182">
        <f t="shared" si="1"/>
        <v>0.33693649999999992</v>
      </c>
      <c r="I99" s="332">
        <v>20</v>
      </c>
      <c r="J99" s="353">
        <f t="shared" si="2"/>
        <v>0.83961146528968855</v>
      </c>
    </row>
    <row r="100" spans="1:10" s="49" customFormat="1">
      <c r="A100" s="75">
        <v>3</v>
      </c>
      <c r="B100" s="75">
        <v>3</v>
      </c>
      <c r="C100" s="75">
        <v>3</v>
      </c>
      <c r="D100" s="75">
        <v>0.35466999999999993</v>
      </c>
      <c r="E100" s="72">
        <v>1</v>
      </c>
      <c r="F100" s="181">
        <v>1</v>
      </c>
      <c r="G100" s="182">
        <f t="shared" si="1"/>
        <v>0.35466999999999993</v>
      </c>
      <c r="I100" s="332">
        <v>20</v>
      </c>
      <c r="J100" s="353">
        <f t="shared" si="2"/>
        <v>0.88184406727113052</v>
      </c>
    </row>
    <row r="101" spans="1:10" s="49" customFormat="1">
      <c r="A101" s="75">
        <v>3</v>
      </c>
      <c r="B101" s="75">
        <v>3</v>
      </c>
      <c r="C101" s="75">
        <v>4</v>
      </c>
      <c r="D101" s="75">
        <v>0.35466999999999993</v>
      </c>
      <c r="E101" s="72">
        <v>1</v>
      </c>
      <c r="F101" s="181">
        <v>1.05</v>
      </c>
      <c r="G101" s="182">
        <f t="shared" si="1"/>
        <v>0.37240349999999994</v>
      </c>
      <c r="I101" s="332">
        <v>20</v>
      </c>
      <c r="J101" s="353">
        <f t="shared" si="2"/>
        <v>0.91409402311825694</v>
      </c>
    </row>
    <row r="102" spans="1:10" s="49" customFormat="1">
      <c r="A102" s="75">
        <v>3</v>
      </c>
      <c r="B102" s="75">
        <v>4</v>
      </c>
      <c r="C102" s="75">
        <v>1</v>
      </c>
      <c r="D102" s="75">
        <v>0.35466999999999993</v>
      </c>
      <c r="E102" s="72">
        <v>0.9</v>
      </c>
      <c r="F102" s="181">
        <v>0.9</v>
      </c>
      <c r="G102" s="182">
        <f t="shared" si="1"/>
        <v>0.28728269999999995</v>
      </c>
      <c r="I102" s="332">
        <v>20</v>
      </c>
      <c r="J102" s="353">
        <f t="shared" si="2"/>
        <v>0.65976878785373061</v>
      </c>
    </row>
    <row r="103" spans="1:10" s="49" customFormat="1">
      <c r="A103" s="75">
        <v>3</v>
      </c>
      <c r="B103" s="75">
        <v>4</v>
      </c>
      <c r="C103" s="75">
        <v>2</v>
      </c>
      <c r="D103" s="75">
        <v>0.35466999999999993</v>
      </c>
      <c r="E103" s="72">
        <v>0.9</v>
      </c>
      <c r="F103" s="181">
        <v>0.95</v>
      </c>
      <c r="G103" s="182">
        <f t="shared" si="1"/>
        <v>0.30324284999999995</v>
      </c>
      <c r="I103" s="332">
        <v>20</v>
      </c>
      <c r="J103" s="353">
        <f t="shared" si="2"/>
        <v>0.72739921015462239</v>
      </c>
    </row>
    <row r="104" spans="1:10" s="49" customFormat="1">
      <c r="A104" s="75">
        <v>3</v>
      </c>
      <c r="B104" s="75">
        <v>4</v>
      </c>
      <c r="C104" s="75">
        <v>3</v>
      </c>
      <c r="D104" s="75">
        <v>0.35466999999999993</v>
      </c>
      <c r="E104" s="72">
        <v>0.9</v>
      </c>
      <c r="F104" s="181">
        <v>1</v>
      </c>
      <c r="G104" s="182">
        <f t="shared" si="1"/>
        <v>0.31920299999999996</v>
      </c>
      <c r="I104" s="332">
        <v>20</v>
      </c>
      <c r="J104" s="353">
        <f t="shared" si="2"/>
        <v>0.78594772639689292</v>
      </c>
    </row>
    <row r="105" spans="1:10" s="49" customFormat="1">
      <c r="A105" s="75">
        <v>3</v>
      </c>
      <c r="B105" s="75">
        <v>4</v>
      </c>
      <c r="C105" s="75">
        <v>4</v>
      </c>
      <c r="D105" s="75">
        <v>0.35466999999999993</v>
      </c>
      <c r="E105" s="72">
        <v>0.9</v>
      </c>
      <c r="F105" s="181">
        <v>1.05</v>
      </c>
      <c r="G105" s="182">
        <f t="shared" si="1"/>
        <v>0.33516314999999997</v>
      </c>
      <c r="I105" s="332">
        <v>20</v>
      </c>
      <c r="J105" s="353">
        <f t="shared" si="2"/>
        <v>0.83477761834959519</v>
      </c>
    </row>
    <row r="106" spans="1:10" s="49" customFormat="1">
      <c r="A106" s="75">
        <v>3</v>
      </c>
      <c r="B106" s="75">
        <v>5</v>
      </c>
      <c r="C106" s="75">
        <v>1</v>
      </c>
      <c r="D106" s="75">
        <v>0.35466999999999993</v>
      </c>
      <c r="E106" s="72">
        <v>0.85</v>
      </c>
      <c r="F106" s="181">
        <v>0.9</v>
      </c>
      <c r="G106" s="182">
        <f t="shared" si="1"/>
        <v>0.27132254999999994</v>
      </c>
      <c r="I106" s="332">
        <v>20</v>
      </c>
      <c r="J106" s="353">
        <f t="shared" si="2"/>
        <v>0.5849338915646014</v>
      </c>
    </row>
    <row r="107" spans="1:10" s="49" customFormat="1">
      <c r="A107" s="75">
        <v>3</v>
      </c>
      <c r="B107" s="75">
        <v>5</v>
      </c>
      <c r="C107" s="75">
        <v>2</v>
      </c>
      <c r="D107" s="75">
        <v>0.35466999999999993</v>
      </c>
      <c r="E107" s="72">
        <v>0.85</v>
      </c>
      <c r="F107" s="181">
        <v>0.95</v>
      </c>
      <c r="G107" s="182">
        <f t="shared" si="1"/>
        <v>0.28639602499999994</v>
      </c>
      <c r="I107" s="332">
        <v>20</v>
      </c>
      <c r="J107" s="353">
        <f t="shared" si="2"/>
        <v>0.65577687382122651</v>
      </c>
    </row>
    <row r="108" spans="1:10" s="49" customFormat="1">
      <c r="A108" s="75">
        <v>3</v>
      </c>
      <c r="B108" s="75">
        <v>5</v>
      </c>
      <c r="C108" s="75">
        <v>3</v>
      </c>
      <c r="D108" s="75">
        <v>0.35466999999999993</v>
      </c>
      <c r="E108" s="72">
        <v>0.85</v>
      </c>
      <c r="F108" s="181">
        <v>1</v>
      </c>
      <c r="G108" s="182">
        <f t="shared" si="1"/>
        <v>0.30146949999999995</v>
      </c>
      <c r="I108" s="332">
        <v>20</v>
      </c>
      <c r="J108" s="353">
        <f t="shared" si="2"/>
        <v>0.72031004070939275</v>
      </c>
    </row>
    <row r="109" spans="1:10" s="49" customFormat="1">
      <c r="A109" s="75">
        <v>3</v>
      </c>
      <c r="B109" s="75">
        <v>5</v>
      </c>
      <c r="C109" s="75">
        <v>4</v>
      </c>
      <c r="D109" s="75">
        <v>0.35466999999999993</v>
      </c>
      <c r="E109" s="72">
        <v>0.85</v>
      </c>
      <c r="F109" s="181">
        <v>1.05</v>
      </c>
      <c r="G109" s="182">
        <f t="shared" si="1"/>
        <v>0.31654297499999995</v>
      </c>
      <c r="I109" s="332">
        <v>20</v>
      </c>
      <c r="J109" s="353">
        <f t="shared" si="2"/>
        <v>0.77686151735194486</v>
      </c>
    </row>
    <row r="110" spans="1:10" s="49" customFormat="1">
      <c r="A110" s="75">
        <v>4</v>
      </c>
      <c r="B110" s="75">
        <v>1</v>
      </c>
      <c r="C110" s="75">
        <v>1</v>
      </c>
      <c r="D110" s="75">
        <v>0.43227499999999996</v>
      </c>
      <c r="E110" s="72">
        <v>1.1499999999999999</v>
      </c>
      <c r="F110" s="181">
        <v>0.9</v>
      </c>
      <c r="G110" s="182">
        <f t="shared" si="1"/>
        <v>0.44740462499999994</v>
      </c>
      <c r="I110" s="332">
        <v>20</v>
      </c>
      <c r="J110" s="353">
        <f t="shared" si="2"/>
        <v>0.97946151554509286</v>
      </c>
    </row>
    <row r="111" spans="1:10" s="49" customFormat="1">
      <c r="A111" s="75">
        <v>4</v>
      </c>
      <c r="B111" s="75">
        <v>1</v>
      </c>
      <c r="C111" s="75">
        <v>2</v>
      </c>
      <c r="D111" s="75">
        <v>0.43227499999999996</v>
      </c>
      <c r="E111" s="72">
        <v>1.1499999999999999</v>
      </c>
      <c r="F111" s="181">
        <v>0.95</v>
      </c>
      <c r="G111" s="182">
        <f t="shared" si="1"/>
        <v>0.47226043749999991</v>
      </c>
      <c r="I111" s="332">
        <v>20</v>
      </c>
      <c r="J111" s="353">
        <f t="shared" si="2"/>
        <v>0.98740547754979791</v>
      </c>
    </row>
    <row r="112" spans="1:10" s="49" customFormat="1">
      <c r="A112" s="75">
        <v>4</v>
      </c>
      <c r="B112" s="75">
        <v>1</v>
      </c>
      <c r="C112" s="75">
        <v>3</v>
      </c>
      <c r="D112" s="75">
        <v>0.43227499999999996</v>
      </c>
      <c r="E112" s="72">
        <v>1.1499999999999999</v>
      </c>
      <c r="F112" s="181">
        <v>1</v>
      </c>
      <c r="G112" s="182">
        <f t="shared" si="1"/>
        <v>0.49711624999999993</v>
      </c>
      <c r="I112" s="332">
        <v>20</v>
      </c>
      <c r="J112" s="353">
        <f t="shared" si="2"/>
        <v>0.9923009922961834</v>
      </c>
    </row>
    <row r="113" spans="1:10" s="49" customFormat="1">
      <c r="A113" s="75">
        <v>4</v>
      </c>
      <c r="B113" s="75">
        <v>1</v>
      </c>
      <c r="C113" s="75">
        <v>4</v>
      </c>
      <c r="D113" s="75">
        <v>0.43227499999999996</v>
      </c>
      <c r="E113" s="72">
        <v>1.1499999999999999</v>
      </c>
      <c r="F113" s="181">
        <v>1.05</v>
      </c>
      <c r="G113" s="182">
        <f t="shared" si="1"/>
        <v>0.52197206249999994</v>
      </c>
      <c r="I113" s="332">
        <v>20</v>
      </c>
      <c r="J113" s="353">
        <f t="shared" si="2"/>
        <v>0.99530266373666609</v>
      </c>
    </row>
    <row r="114" spans="1:10" s="49" customFormat="1">
      <c r="A114" s="75">
        <v>4</v>
      </c>
      <c r="B114" s="75">
        <v>2</v>
      </c>
      <c r="C114" s="75">
        <v>1</v>
      </c>
      <c r="D114" s="75">
        <v>0.43227499999999996</v>
      </c>
      <c r="E114" s="72">
        <v>1</v>
      </c>
      <c r="F114" s="181">
        <v>0.9</v>
      </c>
      <c r="G114" s="182">
        <f t="shared" si="1"/>
        <v>0.38904749999999999</v>
      </c>
      <c r="I114" s="332">
        <v>20</v>
      </c>
      <c r="J114" s="353">
        <f t="shared" si="2"/>
        <v>0.93688251327484584</v>
      </c>
    </row>
    <row r="115" spans="1:10" s="49" customFormat="1">
      <c r="A115" s="75">
        <v>4</v>
      </c>
      <c r="B115" s="75">
        <v>2</v>
      </c>
      <c r="C115" s="75">
        <v>2</v>
      </c>
      <c r="D115" s="75">
        <v>0.43227499999999996</v>
      </c>
      <c r="E115" s="72">
        <v>1</v>
      </c>
      <c r="F115" s="181">
        <v>0.95</v>
      </c>
      <c r="G115" s="182">
        <f t="shared" ref="G115:G129" si="3">D115*E115*F115</f>
        <v>0.41066124999999992</v>
      </c>
      <c r="I115" s="332">
        <v>20</v>
      </c>
      <c r="J115" s="353">
        <f t="shared" ref="J115:J129" si="4">$B$7/(1+$D$7*EXP(-G115*I115))</f>
        <v>0.95810677184592019</v>
      </c>
    </row>
    <row r="116" spans="1:10" s="49" customFormat="1">
      <c r="A116" s="75">
        <v>4</v>
      </c>
      <c r="B116" s="75">
        <v>2</v>
      </c>
      <c r="C116" s="75">
        <v>3</v>
      </c>
      <c r="D116" s="75">
        <v>0.43227499999999996</v>
      </c>
      <c r="E116" s="72">
        <v>1</v>
      </c>
      <c r="F116" s="181">
        <v>1</v>
      </c>
      <c r="G116" s="182">
        <f t="shared" si="3"/>
        <v>0.43227499999999996</v>
      </c>
      <c r="I116" s="332">
        <v>20</v>
      </c>
      <c r="J116" s="353">
        <f t="shared" si="4"/>
        <v>0.97240425516000406</v>
      </c>
    </row>
    <row r="117" spans="1:10" s="49" customFormat="1">
      <c r="A117" s="75">
        <v>4</v>
      </c>
      <c r="B117" s="75">
        <v>2</v>
      </c>
      <c r="C117" s="75">
        <v>4</v>
      </c>
      <c r="D117" s="75">
        <v>0.43227499999999996</v>
      </c>
      <c r="E117" s="72">
        <v>1</v>
      </c>
      <c r="F117" s="181">
        <v>1.05</v>
      </c>
      <c r="G117" s="182">
        <f t="shared" si="3"/>
        <v>0.45388875000000001</v>
      </c>
      <c r="I117" s="332">
        <v>20</v>
      </c>
      <c r="J117" s="353">
        <f t="shared" si="4"/>
        <v>0.98191434558787805</v>
      </c>
    </row>
    <row r="118" spans="1:10" s="49" customFormat="1">
      <c r="A118" s="75">
        <v>4</v>
      </c>
      <c r="B118" s="75">
        <v>3</v>
      </c>
      <c r="C118" s="75">
        <v>1</v>
      </c>
      <c r="D118" s="75">
        <v>0.43227499999999996</v>
      </c>
      <c r="E118" s="72">
        <v>1</v>
      </c>
      <c r="F118" s="181">
        <v>0.9</v>
      </c>
      <c r="G118" s="182">
        <f t="shared" si="3"/>
        <v>0.38904749999999999</v>
      </c>
      <c r="I118" s="332">
        <v>20</v>
      </c>
      <c r="J118" s="353">
        <f t="shared" si="4"/>
        <v>0.93688251327484584</v>
      </c>
    </row>
    <row r="119" spans="1:10" s="49" customFormat="1">
      <c r="A119" s="75">
        <v>4</v>
      </c>
      <c r="B119" s="75">
        <v>3</v>
      </c>
      <c r="C119" s="75">
        <v>2</v>
      </c>
      <c r="D119" s="75">
        <v>0.43227499999999996</v>
      </c>
      <c r="E119" s="72">
        <v>1</v>
      </c>
      <c r="F119" s="181">
        <v>0.95</v>
      </c>
      <c r="G119" s="182">
        <f t="shared" si="3"/>
        <v>0.41066124999999992</v>
      </c>
      <c r="I119" s="332">
        <v>20</v>
      </c>
      <c r="J119" s="353">
        <f t="shared" si="4"/>
        <v>0.95810677184592019</v>
      </c>
    </row>
    <row r="120" spans="1:10" s="49" customFormat="1">
      <c r="A120" s="75">
        <v>4</v>
      </c>
      <c r="B120" s="75">
        <v>3</v>
      </c>
      <c r="C120" s="75">
        <v>3</v>
      </c>
      <c r="D120" s="75">
        <v>0.43227499999999996</v>
      </c>
      <c r="E120" s="72">
        <v>1</v>
      </c>
      <c r="F120" s="181">
        <v>1</v>
      </c>
      <c r="G120" s="182">
        <f t="shared" si="3"/>
        <v>0.43227499999999996</v>
      </c>
      <c r="I120" s="332">
        <v>20</v>
      </c>
      <c r="J120" s="353">
        <f t="shared" si="4"/>
        <v>0.97240425516000406</v>
      </c>
    </row>
    <row r="121" spans="1:10" s="49" customFormat="1">
      <c r="A121" s="75">
        <v>4</v>
      </c>
      <c r="B121" s="75">
        <v>3</v>
      </c>
      <c r="C121" s="75">
        <v>4</v>
      </c>
      <c r="D121" s="75">
        <v>0.43227499999999996</v>
      </c>
      <c r="E121" s="72">
        <v>1</v>
      </c>
      <c r="F121" s="181">
        <v>1.05</v>
      </c>
      <c r="G121" s="182">
        <f t="shared" si="3"/>
        <v>0.45388875000000001</v>
      </c>
      <c r="I121" s="332">
        <v>20</v>
      </c>
      <c r="J121" s="353">
        <f t="shared" si="4"/>
        <v>0.98191434558787805</v>
      </c>
    </row>
    <row r="122" spans="1:10" s="49" customFormat="1">
      <c r="A122" s="75">
        <v>4</v>
      </c>
      <c r="B122" s="75">
        <v>4</v>
      </c>
      <c r="C122" s="75">
        <v>1</v>
      </c>
      <c r="D122" s="75">
        <v>0.43227499999999996</v>
      </c>
      <c r="E122" s="72">
        <v>0.9</v>
      </c>
      <c r="F122" s="181">
        <v>0.9</v>
      </c>
      <c r="G122" s="182">
        <f t="shared" si="3"/>
        <v>0.35014275</v>
      </c>
      <c r="I122" s="332">
        <v>20</v>
      </c>
      <c r="J122" s="353">
        <f t="shared" si="4"/>
        <v>0.87207876570067555</v>
      </c>
    </row>
    <row r="123" spans="1:10" s="49" customFormat="1">
      <c r="A123" s="75">
        <v>4</v>
      </c>
      <c r="B123" s="75">
        <v>4</v>
      </c>
      <c r="C123" s="75">
        <v>2</v>
      </c>
      <c r="D123" s="75">
        <v>0.43227499999999996</v>
      </c>
      <c r="E123" s="72">
        <v>0.9</v>
      </c>
      <c r="F123" s="181">
        <v>0.95</v>
      </c>
      <c r="G123" s="182">
        <f t="shared" si="3"/>
        <v>0.36959512499999997</v>
      </c>
      <c r="I123" s="332">
        <v>20</v>
      </c>
      <c r="J123" s="353">
        <f t="shared" si="4"/>
        <v>0.90957959349506079</v>
      </c>
    </row>
    <row r="124" spans="1:10" s="49" customFormat="1">
      <c r="A124" s="75">
        <v>4</v>
      </c>
      <c r="B124" s="75">
        <v>4</v>
      </c>
      <c r="C124" s="75">
        <v>3</v>
      </c>
      <c r="D124" s="75">
        <v>0.43227499999999996</v>
      </c>
      <c r="E124" s="72">
        <v>0.9</v>
      </c>
      <c r="F124" s="181">
        <v>1</v>
      </c>
      <c r="G124" s="182">
        <f t="shared" si="3"/>
        <v>0.38904749999999999</v>
      </c>
      <c r="I124" s="332">
        <v>20</v>
      </c>
      <c r="J124" s="353">
        <f t="shared" si="4"/>
        <v>0.93688251327484584</v>
      </c>
    </row>
    <row r="125" spans="1:10" s="49" customFormat="1">
      <c r="A125" s="75">
        <v>4</v>
      </c>
      <c r="B125" s="75">
        <v>4</v>
      </c>
      <c r="C125" s="75">
        <v>4</v>
      </c>
      <c r="D125" s="75">
        <v>0.43227499999999996</v>
      </c>
      <c r="E125" s="72">
        <v>0.9</v>
      </c>
      <c r="F125" s="181">
        <v>1.05</v>
      </c>
      <c r="G125" s="182">
        <f t="shared" si="3"/>
        <v>0.40849987500000001</v>
      </c>
      <c r="I125" s="332">
        <v>20</v>
      </c>
      <c r="J125" s="353">
        <f t="shared" si="4"/>
        <v>0.9563369260967961</v>
      </c>
    </row>
    <row r="126" spans="1:10" s="49" customFormat="1">
      <c r="A126" s="75">
        <v>4</v>
      </c>
      <c r="B126" s="75">
        <v>5</v>
      </c>
      <c r="C126" s="75">
        <v>1</v>
      </c>
      <c r="D126" s="75">
        <v>0.43227499999999996</v>
      </c>
      <c r="E126" s="72">
        <v>0.85</v>
      </c>
      <c r="F126" s="181">
        <v>0.9</v>
      </c>
      <c r="G126" s="182">
        <f t="shared" si="3"/>
        <v>0.33069037499999998</v>
      </c>
      <c r="I126" s="332">
        <v>20</v>
      </c>
      <c r="J126" s="353">
        <f t="shared" si="4"/>
        <v>0.82206739562151876</v>
      </c>
    </row>
    <row r="127" spans="1:10" s="49" customFormat="1">
      <c r="A127" s="75">
        <v>4</v>
      </c>
      <c r="B127" s="75">
        <v>5</v>
      </c>
      <c r="C127" s="75">
        <v>2</v>
      </c>
      <c r="D127" s="75">
        <v>0.43227499999999996</v>
      </c>
      <c r="E127" s="72">
        <v>0.85</v>
      </c>
      <c r="F127" s="181">
        <v>0.95</v>
      </c>
      <c r="G127" s="182">
        <f t="shared" si="3"/>
        <v>0.34906206249999994</v>
      </c>
      <c r="I127" s="332">
        <v>20</v>
      </c>
      <c r="J127" s="353">
        <f t="shared" si="4"/>
        <v>0.86964813960178333</v>
      </c>
    </row>
    <row r="128" spans="1:10" s="49" customFormat="1">
      <c r="A128" s="75">
        <v>4</v>
      </c>
      <c r="B128" s="75">
        <v>5</v>
      </c>
      <c r="C128" s="75">
        <v>3</v>
      </c>
      <c r="D128" s="75">
        <v>0.43227499999999996</v>
      </c>
      <c r="E128" s="72">
        <v>0.85</v>
      </c>
      <c r="F128" s="181">
        <v>1</v>
      </c>
      <c r="G128" s="182">
        <f t="shared" si="3"/>
        <v>0.36743374999999995</v>
      </c>
      <c r="I128" s="332">
        <v>20</v>
      </c>
      <c r="J128" s="353">
        <f t="shared" si="4"/>
        <v>0.90596086037089385</v>
      </c>
    </row>
    <row r="129" spans="1:10" s="49" customFormat="1">
      <c r="A129" s="75">
        <v>4</v>
      </c>
      <c r="B129" s="75">
        <v>5</v>
      </c>
      <c r="C129" s="75">
        <v>4</v>
      </c>
      <c r="D129" s="75">
        <v>0.43227499999999996</v>
      </c>
      <c r="E129" s="72">
        <v>0.85</v>
      </c>
      <c r="F129" s="181">
        <v>1.05</v>
      </c>
      <c r="G129" s="182">
        <f t="shared" si="3"/>
        <v>0.38580543749999996</v>
      </c>
      <c r="I129" s="332">
        <v>20</v>
      </c>
      <c r="J129" s="353">
        <f t="shared" si="4"/>
        <v>0.93293784973769822</v>
      </c>
    </row>
    <row r="130" spans="1:10" s="49" customFormat="1">
      <c r="F130" s="177"/>
    </row>
    <row r="131" spans="1:10" s="49" customFormat="1">
      <c r="F131" s="177"/>
    </row>
    <row r="132" spans="1:10" s="49" customFormat="1">
      <c r="F132" s="177"/>
    </row>
    <row r="133" spans="1:10" s="49" customFormat="1">
      <c r="F133" s="177"/>
    </row>
    <row r="134" spans="1:10" s="49" customFormat="1">
      <c r="F134" s="177"/>
    </row>
    <row r="135" spans="1:10" s="49" customFormat="1">
      <c r="F135" s="177"/>
    </row>
    <row r="136" spans="1:10" s="49" customFormat="1">
      <c r="F136" s="177"/>
    </row>
  </sheetData>
  <phoneticPr fontId="0" type="noConversion"/>
  <pageMargins left="0.75" right="0.75" top="1" bottom="1" header="0.5" footer="0.5"/>
  <headerFooter alignWithMargins="0"/>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theme="6" tint="-0.249977111117893"/>
  </sheetPr>
  <dimension ref="A1:AC929"/>
  <sheetViews>
    <sheetView topLeftCell="A169" workbookViewId="0">
      <pane ySplit="1200" topLeftCell="A13" activePane="bottomLeft"/>
      <selection activeCell="M182" sqref="M1:M65536"/>
      <selection pane="bottomLeft" activeCell="D44" sqref="D44:D59"/>
    </sheetView>
  </sheetViews>
  <sheetFormatPr defaultColWidth="8.8984375" defaultRowHeight="11.5"/>
  <cols>
    <col min="1" max="1" width="18.09765625" customWidth="1"/>
    <col min="2" max="2" width="15.296875" customWidth="1"/>
    <col min="3" max="3" width="13.8984375" customWidth="1"/>
    <col min="4" max="4" width="9.8984375" customWidth="1"/>
    <col min="5" max="5" width="12" customWidth="1"/>
    <col min="6" max="6" width="12.09765625" customWidth="1"/>
    <col min="7" max="7" width="13.296875" customWidth="1"/>
    <col min="8" max="8" width="13.3984375" customWidth="1"/>
    <col min="9" max="9" width="14.296875" customWidth="1"/>
    <col min="10" max="10" width="12.09765625" customWidth="1"/>
    <col min="11" max="11" width="10.69921875" customWidth="1"/>
    <col min="12" max="12" width="21.296875" customWidth="1"/>
    <col min="13" max="13" width="9.69921875" bestFit="1" customWidth="1"/>
    <col min="14" max="14" width="9.59765625" customWidth="1"/>
    <col min="15" max="15" width="7" customWidth="1"/>
    <col min="16" max="16" width="8.09765625" customWidth="1"/>
    <col min="17" max="17" width="11.296875" customWidth="1"/>
    <col min="18" max="18" width="11" customWidth="1"/>
    <col min="19" max="19" width="10" customWidth="1"/>
    <col min="20" max="20" width="5.3984375" customWidth="1"/>
    <col min="21" max="21" width="17.59765625" customWidth="1"/>
    <col min="22" max="24" width="8.8984375" customWidth="1"/>
    <col min="25" max="25" width="10.69921875" customWidth="1"/>
  </cols>
  <sheetData>
    <row r="1" spans="1:14" ht="15.5">
      <c r="A1" s="59" t="s">
        <v>1081</v>
      </c>
      <c r="B1" s="60"/>
      <c r="C1" s="60"/>
      <c r="D1" s="60"/>
      <c r="E1" s="60"/>
      <c r="F1" s="60"/>
      <c r="H1" s="60"/>
      <c r="I1" s="64" t="s">
        <v>581</v>
      </c>
      <c r="J1" s="60"/>
      <c r="K1" s="60"/>
      <c r="L1" s="60"/>
      <c r="M1" s="60"/>
      <c r="N1" s="60"/>
    </row>
    <row r="2" spans="1:14">
      <c r="A2" s="61"/>
      <c r="B2" s="61"/>
      <c r="C2" s="61"/>
      <c r="D2" s="61"/>
      <c r="E2" s="61"/>
      <c r="F2" s="61"/>
      <c r="G2" s="62"/>
      <c r="H2" s="62"/>
      <c r="I2" s="62"/>
      <c r="J2" s="62"/>
      <c r="K2" s="61"/>
      <c r="L2" s="61"/>
      <c r="M2" s="61"/>
      <c r="N2" s="61"/>
    </row>
    <row r="3" spans="1:14" ht="13">
      <c r="A3" s="63" t="s">
        <v>1073</v>
      </c>
      <c r="B3" s="61"/>
      <c r="C3" s="61"/>
      <c r="D3" s="61"/>
      <c r="E3" s="64"/>
      <c r="F3" s="61"/>
      <c r="G3" s="62"/>
      <c r="H3" s="62"/>
      <c r="I3" s="62"/>
      <c r="J3" s="62"/>
      <c r="K3" s="61"/>
      <c r="L3" s="61"/>
      <c r="M3" s="61"/>
      <c r="N3" s="61"/>
    </row>
    <row r="5" spans="1:14">
      <c r="A5" t="s">
        <v>1207</v>
      </c>
    </row>
    <row r="6" spans="1:14">
      <c r="A6" t="s">
        <v>15</v>
      </c>
    </row>
    <row r="8" spans="1:14" ht="12">
      <c r="A8" s="145" t="s">
        <v>9</v>
      </c>
    </row>
    <row r="9" spans="1:14" s="3" customFormat="1" ht="16">
      <c r="A9" s="1" t="s">
        <v>1208</v>
      </c>
      <c r="E9" s="1" t="s">
        <v>0</v>
      </c>
    </row>
    <row r="10" spans="1:14" s="3" customFormat="1">
      <c r="A10" s="3" t="s">
        <v>17</v>
      </c>
      <c r="B10" s="61"/>
      <c r="C10" s="61"/>
      <c r="D10" s="61"/>
      <c r="E10" s="61"/>
      <c r="F10" s="61"/>
    </row>
    <row r="11" spans="1:14" s="3" customFormat="1">
      <c r="A11" s="97" t="s">
        <v>6</v>
      </c>
      <c r="B11" s="61"/>
      <c r="C11" s="61"/>
      <c r="D11" s="61"/>
      <c r="E11" s="61"/>
      <c r="F11" s="61"/>
    </row>
    <row r="12" spans="1:14" s="3" customFormat="1">
      <c r="A12" s="3" t="s">
        <v>1</v>
      </c>
      <c r="E12" s="1"/>
    </row>
    <row r="13" spans="1:14" ht="13">
      <c r="A13" s="202" t="s">
        <v>2</v>
      </c>
      <c r="B13" s="107" t="s">
        <v>3</v>
      </c>
      <c r="C13" s="97">
        <v>9.2499999999999995E-6</v>
      </c>
      <c r="D13" s="66" t="s">
        <v>864</v>
      </c>
      <c r="E13" s="97">
        <v>1</v>
      </c>
      <c r="F13" s="107" t="s">
        <v>913</v>
      </c>
      <c r="G13" s="97">
        <v>3.06</v>
      </c>
      <c r="J13" s="67"/>
    </row>
    <row r="14" spans="1:14" ht="12.5">
      <c r="A14" s="61" t="s">
        <v>13</v>
      </c>
      <c r="B14" s="61"/>
      <c r="C14" s="112"/>
      <c r="D14" s="61"/>
      <c r="E14" s="61"/>
      <c r="F14" s="61"/>
      <c r="G14" s="69"/>
    </row>
    <row r="15" spans="1:14">
      <c r="B15" s="97" t="s">
        <v>4</v>
      </c>
    </row>
    <row r="16" spans="1:14">
      <c r="B16" s="97" t="s">
        <v>7</v>
      </c>
      <c r="F16" t="s">
        <v>8</v>
      </c>
    </row>
    <row r="17" spans="1:20" ht="13">
      <c r="A17" t="s">
        <v>1026</v>
      </c>
      <c r="B17" s="97" t="s">
        <v>16</v>
      </c>
      <c r="G17" s="1" t="s">
        <v>34</v>
      </c>
    </row>
    <row r="18" spans="1:20" ht="16">
      <c r="C18" s="1" t="s">
        <v>53</v>
      </c>
      <c r="I18" s="1" t="s">
        <v>1026</v>
      </c>
    </row>
    <row r="19" spans="1:20" s="61" customFormat="1" ht="13">
      <c r="A19" s="67"/>
      <c r="B19"/>
      <c r="C19" t="s">
        <v>33</v>
      </c>
      <c r="D19" s="107" t="s">
        <v>31</v>
      </c>
      <c r="E19" s="97">
        <v>213.96744000000001</v>
      </c>
      <c r="F19" s="66" t="s">
        <v>32</v>
      </c>
      <c r="G19" s="97">
        <v>39.579185000000003</v>
      </c>
      <c r="H19" s="107" t="s">
        <v>75</v>
      </c>
      <c r="I19" s="97">
        <v>2.3020512000000002</v>
      </c>
      <c r="J19"/>
      <c r="K19"/>
      <c r="L19"/>
      <c r="M19"/>
      <c r="N19"/>
      <c r="O19"/>
    </row>
    <row r="20" spans="1:20" s="61" customFormat="1" ht="13">
      <c r="A20" s="67"/>
      <c r="B20"/>
      <c r="C20"/>
      <c r="D20" s="107"/>
      <c r="E20" s="97"/>
      <c r="F20" s="66"/>
      <c r="G20" s="97"/>
      <c r="H20" s="107"/>
      <c r="I20" s="97"/>
      <c r="J20"/>
      <c r="K20"/>
      <c r="L20"/>
      <c r="M20"/>
      <c r="N20"/>
      <c r="O20"/>
    </row>
    <row r="21" spans="1:20" s="61" customFormat="1" ht="13">
      <c r="A21" s="100" t="s">
        <v>14</v>
      </c>
      <c r="B21"/>
      <c r="C21"/>
      <c r="G21" s="62"/>
      <c r="J21"/>
      <c r="K21"/>
      <c r="L21"/>
      <c r="M21"/>
      <c r="N21"/>
      <c r="O21"/>
    </row>
    <row r="22" spans="1:20" s="67" customFormat="1" ht="16">
      <c r="A22" s="1" t="s">
        <v>20</v>
      </c>
      <c r="B22" s="61"/>
      <c r="D22" s="66"/>
      <c r="E22" s="97" t="s">
        <v>11</v>
      </c>
      <c r="F22" s="61"/>
      <c r="G22" s="61"/>
      <c r="H22" s="61"/>
      <c r="I22" s="69"/>
      <c r="K22" s="61"/>
      <c r="L22" s="65" t="s">
        <v>1026</v>
      </c>
      <c r="R22" s="61"/>
      <c r="S22" s="61"/>
      <c r="T22" s="61"/>
    </row>
    <row r="23" spans="1:20" s="67" customFormat="1" ht="13">
      <c r="A23" s="65" t="s">
        <v>18</v>
      </c>
      <c r="B23" s="97"/>
      <c r="E23" s="97"/>
      <c r="F23" s="97"/>
      <c r="G23" s="97"/>
      <c r="H23" s="97"/>
      <c r="I23" s="107"/>
      <c r="J23" s="97"/>
      <c r="K23" s="97"/>
      <c r="R23" s="97"/>
      <c r="S23" s="97"/>
      <c r="T23" s="97"/>
    </row>
    <row r="24" spans="1:20" s="3" customFormat="1">
      <c r="A24" s="514" t="s">
        <v>254</v>
      </c>
      <c r="B24" s="515"/>
      <c r="C24" s="515"/>
      <c r="D24" s="515"/>
      <c r="E24" s="515"/>
      <c r="F24" s="593"/>
    </row>
    <row r="25" spans="1:20" s="3" customFormat="1">
      <c r="A25" s="3" t="s">
        <v>12</v>
      </c>
      <c r="E25" s="1"/>
    </row>
    <row r="26" spans="1:20" s="67" customFormat="1" ht="13">
      <c r="A26" s="202" t="s">
        <v>2</v>
      </c>
      <c r="B26" s="107" t="s">
        <v>3</v>
      </c>
      <c r="C26" s="97">
        <v>1</v>
      </c>
      <c r="D26" s="66" t="s">
        <v>863</v>
      </c>
      <c r="E26" s="97">
        <v>4.5</v>
      </c>
      <c r="F26" s="107" t="s">
        <v>913</v>
      </c>
      <c r="G26" s="97">
        <v>-2</v>
      </c>
      <c r="H26" s="97"/>
      <c r="I26" s="107"/>
      <c r="J26" s="97"/>
      <c r="K26" s="97"/>
      <c r="R26" s="97"/>
      <c r="S26" s="97"/>
      <c r="T26" s="97"/>
    </row>
    <row r="27" spans="1:20" s="67" customFormat="1" ht="13">
      <c r="A27" s="61" t="s">
        <v>5</v>
      </c>
      <c r="B27" s="107"/>
      <c r="C27" s="97"/>
      <c r="D27" s="66"/>
      <c r="E27" s="97"/>
      <c r="F27" s="107"/>
      <c r="G27" s="97"/>
      <c r="H27" s="97"/>
      <c r="I27" s="107"/>
      <c r="J27" s="97"/>
      <c r="K27" s="97"/>
      <c r="R27" s="97"/>
      <c r="S27" s="97"/>
      <c r="T27" s="97"/>
    </row>
    <row r="28" spans="1:20">
      <c r="B28" s="97" t="s">
        <v>4</v>
      </c>
    </row>
    <row r="29" spans="1:20">
      <c r="B29" s="97" t="s">
        <v>19</v>
      </c>
    </row>
    <row r="30" spans="1:20" s="67" customFormat="1" ht="13">
      <c r="B30" s="97" t="s">
        <v>55</v>
      </c>
      <c r="C30" s="61"/>
      <c r="D30" s="65"/>
      <c r="E30"/>
      <c r="F30"/>
      <c r="G30" s="61"/>
      <c r="I30" s="65"/>
      <c r="K30" s="61"/>
      <c r="L30" s="65"/>
      <c r="R30" s="61"/>
      <c r="S30" s="61"/>
      <c r="T30" s="61"/>
    </row>
    <row r="31" spans="1:20" ht="13">
      <c r="B31" s="61" t="s">
        <v>56</v>
      </c>
      <c r="C31" s="67"/>
      <c r="G31" s="62"/>
    </row>
    <row r="32" spans="1:20" ht="13">
      <c r="B32" s="67" t="s">
        <v>57</v>
      </c>
    </row>
    <row r="33" spans="1:20">
      <c r="B33" s="1" t="s">
        <v>54</v>
      </c>
    </row>
    <row r="34" spans="1:20">
      <c r="B34" s="1"/>
    </row>
    <row r="35" spans="1:20" s="67" customFormat="1" ht="13">
      <c r="A35" s="100" t="s">
        <v>21</v>
      </c>
      <c r="B35" s="97"/>
      <c r="E35" s="97"/>
      <c r="F35" s="97"/>
      <c r="G35" s="97"/>
      <c r="H35" s="97"/>
      <c r="I35" s="107"/>
      <c r="J35" s="97"/>
      <c r="K35" s="97"/>
      <c r="R35" s="97"/>
      <c r="S35" s="97"/>
      <c r="T35" s="97"/>
    </row>
    <row r="36" spans="1:20" s="67" customFormat="1" ht="13">
      <c r="A36" s="1" t="s">
        <v>10</v>
      </c>
      <c r="B36" s="97"/>
      <c r="E36" s="97"/>
      <c r="F36" s="97"/>
      <c r="G36" s="97"/>
      <c r="H36" s="97"/>
      <c r="I36" s="107"/>
      <c r="J36" s="97"/>
      <c r="K36" s="97"/>
      <c r="R36" s="97"/>
      <c r="S36" s="97"/>
      <c r="T36" s="97"/>
    </row>
    <row r="37" spans="1:20" s="93" customFormat="1"/>
    <row r="38" spans="1:20" ht="12" thickBot="1"/>
    <row r="39" spans="1:20" ht="13.5" thickBot="1">
      <c r="A39" s="74" t="s">
        <v>1090</v>
      </c>
      <c r="L39" s="802" t="s">
        <v>461</v>
      </c>
      <c r="M39" s="803"/>
      <c r="N39" s="803"/>
      <c r="O39" s="804"/>
      <c r="P39" s="805"/>
    </row>
    <row r="40" spans="1:20" ht="13">
      <c r="A40" s="74"/>
    </row>
    <row r="41" spans="1:20" ht="13">
      <c r="A41" s="78" t="s">
        <v>28</v>
      </c>
      <c r="D41" s="62" t="s">
        <v>1060</v>
      </c>
      <c r="J41">
        <v>3.6</v>
      </c>
      <c r="L41" s="138" t="s">
        <v>38</v>
      </c>
      <c r="M41" s="99"/>
      <c r="N41" s="61"/>
      <c r="O41" s="61" t="s">
        <v>1026</v>
      </c>
      <c r="P41" s="1401" t="s">
        <v>35</v>
      </c>
    </row>
    <row r="42" spans="1:20" ht="13.5" thickBot="1">
      <c r="A42" s="95" t="s">
        <v>29</v>
      </c>
      <c r="B42" s="95" t="s">
        <v>30</v>
      </c>
      <c r="C42" s="95" t="s">
        <v>81</v>
      </c>
      <c r="D42" s="211" t="s">
        <v>48</v>
      </c>
      <c r="L42" s="138" t="s">
        <v>926</v>
      </c>
      <c r="M42" s="548" t="s">
        <v>1008</v>
      </c>
      <c r="N42" s="550" t="s">
        <v>1016</v>
      </c>
      <c r="O42" s="555" t="s">
        <v>27</v>
      </c>
      <c r="P42" s="1401"/>
    </row>
    <row r="43" spans="1:20" ht="12.5">
      <c r="A43">
        <v>1</v>
      </c>
      <c r="B43">
        <v>1</v>
      </c>
      <c r="C43">
        <v>1.1000000000000001</v>
      </c>
      <c r="D43">
        <v>2</v>
      </c>
      <c r="L43" s="747" t="s">
        <v>960</v>
      </c>
      <c r="M43" s="784">
        <v>1</v>
      </c>
      <c r="N43" s="738">
        <v>19</v>
      </c>
      <c r="O43" s="738">
        <v>25</v>
      </c>
      <c r="P43" s="719">
        <v>293.00340820000008</v>
      </c>
    </row>
    <row r="44" spans="1:20" ht="12.5">
      <c r="A44">
        <v>1</v>
      </c>
      <c r="B44">
        <v>2</v>
      </c>
      <c r="C44">
        <v>1.2</v>
      </c>
      <c r="D44">
        <v>1.4</v>
      </c>
      <c r="L44" s="782" t="s">
        <v>1033</v>
      </c>
      <c r="M44" s="722">
        <v>2</v>
      </c>
      <c r="N44" s="729">
        <v>16</v>
      </c>
      <c r="O44" s="729">
        <f t="shared" ref="O44:O50" si="0">N44+6</f>
        <v>22</v>
      </c>
      <c r="P44" s="741">
        <f t="shared" ref="P44:P50" si="1">213.96744-39.579185*N44+2.3020512*N44*N44</f>
        <v>170.02558720000002</v>
      </c>
      <c r="Q44" s="4"/>
      <c r="R44" s="4"/>
      <c r="S44" s="4"/>
    </row>
    <row r="45" spans="1:20" ht="12.5">
      <c r="A45">
        <v>1</v>
      </c>
      <c r="B45">
        <v>3</v>
      </c>
      <c r="C45">
        <v>1.3</v>
      </c>
      <c r="D45">
        <v>1.35</v>
      </c>
      <c r="L45" s="698" t="s">
        <v>1032</v>
      </c>
      <c r="M45" s="690">
        <v>3</v>
      </c>
      <c r="N45" s="689">
        <v>12</v>
      </c>
      <c r="O45" s="689">
        <f t="shared" si="0"/>
        <v>18</v>
      </c>
      <c r="P45" s="691">
        <f t="shared" si="1"/>
        <v>70.512592799999993</v>
      </c>
      <c r="Q45" s="4"/>
      <c r="R45" s="4"/>
      <c r="S45" s="4"/>
    </row>
    <row r="46" spans="1:20">
      <c r="A46">
        <v>2</v>
      </c>
      <c r="B46">
        <v>1</v>
      </c>
      <c r="C46">
        <v>2.1</v>
      </c>
      <c r="D46">
        <v>1</v>
      </c>
      <c r="L46" s="698" t="s">
        <v>402</v>
      </c>
      <c r="M46" s="692">
        <v>4</v>
      </c>
      <c r="N46" s="689">
        <v>19</v>
      </c>
      <c r="O46" s="689">
        <f t="shared" si="0"/>
        <v>25</v>
      </c>
      <c r="P46" s="691">
        <f t="shared" si="1"/>
        <v>293.00340820000008</v>
      </c>
      <c r="Q46" s="4"/>
      <c r="R46" s="4"/>
      <c r="S46" s="4"/>
    </row>
    <row r="47" spans="1:20">
      <c r="A47">
        <v>2</v>
      </c>
      <c r="B47">
        <v>2</v>
      </c>
      <c r="C47">
        <v>2.2000000000000002</v>
      </c>
      <c r="D47">
        <v>1</v>
      </c>
      <c r="L47" s="698" t="s">
        <v>1037</v>
      </c>
      <c r="M47" s="692">
        <v>5</v>
      </c>
      <c r="N47" s="689">
        <v>16</v>
      </c>
      <c r="O47" s="689">
        <f t="shared" si="0"/>
        <v>22</v>
      </c>
      <c r="P47" s="691">
        <f t="shared" si="1"/>
        <v>170.02558720000002</v>
      </c>
      <c r="Q47" s="4"/>
      <c r="R47" s="4"/>
      <c r="S47" s="4"/>
    </row>
    <row r="48" spans="1:20">
      <c r="A48">
        <v>2</v>
      </c>
      <c r="B48">
        <v>3</v>
      </c>
      <c r="C48">
        <v>2.2999999999999998</v>
      </c>
      <c r="D48">
        <v>1</v>
      </c>
      <c r="L48" s="698" t="s">
        <v>1038</v>
      </c>
      <c r="M48" s="692">
        <v>6</v>
      </c>
      <c r="N48" s="689">
        <v>24</v>
      </c>
      <c r="O48" s="689">
        <f t="shared" si="0"/>
        <v>30</v>
      </c>
      <c r="P48" s="691">
        <f t="shared" si="1"/>
        <v>590.04849120000006</v>
      </c>
      <c r="Q48" s="4"/>
      <c r="R48" s="4"/>
      <c r="S48" s="4"/>
    </row>
    <row r="49" spans="1:20" ht="13">
      <c r="A49">
        <v>3</v>
      </c>
      <c r="B49">
        <v>1</v>
      </c>
      <c r="C49">
        <v>3.1</v>
      </c>
      <c r="D49">
        <v>1.8</v>
      </c>
      <c r="L49" s="782" t="s">
        <v>1034</v>
      </c>
      <c r="M49" s="722">
        <v>7</v>
      </c>
      <c r="N49" s="729">
        <v>21</v>
      </c>
      <c r="O49" s="729">
        <f t="shared" si="0"/>
        <v>27</v>
      </c>
      <c r="P49" s="741">
        <f t="shared" si="1"/>
        <v>398.00913419999995</v>
      </c>
      <c r="Q49" s="647"/>
      <c r="R49" s="647"/>
      <c r="S49" s="647"/>
    </row>
    <row r="50" spans="1:20" ht="12.5">
      <c r="A50">
        <v>3</v>
      </c>
      <c r="B50">
        <v>2</v>
      </c>
      <c r="C50">
        <v>3.2</v>
      </c>
      <c r="D50">
        <v>0.66</v>
      </c>
      <c r="L50" s="699" t="s">
        <v>390</v>
      </c>
      <c r="M50" s="693">
        <v>8</v>
      </c>
      <c r="N50" s="612">
        <v>19</v>
      </c>
      <c r="O50" s="612">
        <f t="shared" si="0"/>
        <v>25</v>
      </c>
      <c r="P50" s="694">
        <f t="shared" si="1"/>
        <v>293.00340820000008</v>
      </c>
      <c r="Q50" s="4"/>
      <c r="R50" s="4"/>
      <c r="S50" s="4"/>
    </row>
    <row r="51" spans="1:20" ht="12.5">
      <c r="A51">
        <v>3</v>
      </c>
      <c r="B51">
        <v>3</v>
      </c>
      <c r="C51">
        <v>3.3</v>
      </c>
      <c r="D51">
        <v>1</v>
      </c>
      <c r="L51" s="757" t="s">
        <v>445</v>
      </c>
      <c r="M51" s="771">
        <v>9</v>
      </c>
      <c r="N51" s="744">
        <v>19</v>
      </c>
      <c r="O51" s="744">
        <f>N51+6</f>
        <v>25</v>
      </c>
      <c r="P51" s="777">
        <f>213.96744-39.579185*N51+2.3020512*N51*N51</f>
        <v>293.00340820000008</v>
      </c>
      <c r="Q51" s="4"/>
      <c r="R51" s="4"/>
      <c r="S51" s="4"/>
    </row>
    <row r="52" spans="1:20" ht="12.5">
      <c r="A52">
        <v>4</v>
      </c>
      <c r="B52">
        <v>1</v>
      </c>
      <c r="C52">
        <v>4.0999999999999996</v>
      </c>
      <c r="D52">
        <v>2.4</v>
      </c>
      <c r="L52" s="768" t="s">
        <v>596</v>
      </c>
      <c r="M52" s="771">
        <v>10</v>
      </c>
      <c r="N52" s="744">
        <v>19</v>
      </c>
      <c r="O52" s="744">
        <f>N52+6</f>
        <v>25</v>
      </c>
      <c r="P52" s="777">
        <f>213.96744-39.579185*N52+2.3020512*N52*N52</f>
        <v>293.00340820000008</v>
      </c>
      <c r="Q52" s="4"/>
      <c r="R52" s="4"/>
      <c r="S52" s="4"/>
    </row>
    <row r="53" spans="1:20" ht="12.5">
      <c r="A53">
        <v>4</v>
      </c>
      <c r="B53">
        <v>2</v>
      </c>
      <c r="C53">
        <v>4.2</v>
      </c>
      <c r="D53">
        <v>1.8</v>
      </c>
      <c r="L53" s="768" t="s">
        <v>270</v>
      </c>
      <c r="M53" s="771">
        <v>11</v>
      </c>
      <c r="N53" s="744">
        <v>19</v>
      </c>
      <c r="O53" s="744">
        <f>N53+6</f>
        <v>25</v>
      </c>
      <c r="P53" s="777">
        <f>213.96744-39.579185*N53+2.3020512*N53*N53</f>
        <v>293.00340820000008</v>
      </c>
      <c r="Q53" s="4"/>
      <c r="R53" s="4"/>
      <c r="S53" s="4"/>
    </row>
    <row r="54" spans="1:20" ht="12.5">
      <c r="A54">
        <v>4</v>
      </c>
      <c r="B54">
        <v>3</v>
      </c>
      <c r="C54">
        <v>4.3</v>
      </c>
      <c r="D54">
        <v>1.7</v>
      </c>
      <c r="L54" s="774" t="s">
        <v>447</v>
      </c>
      <c r="M54" s="783">
        <v>12</v>
      </c>
      <c r="N54" s="730">
        <v>19</v>
      </c>
      <c r="O54" s="730">
        <f>N54+6</f>
        <v>25</v>
      </c>
      <c r="P54" s="762">
        <f>213.96744-39.579185*N54+2.3020512*N54*N54</f>
        <v>293.00340820000008</v>
      </c>
      <c r="Q54" s="4"/>
      <c r="R54" s="4"/>
      <c r="S54" s="4"/>
    </row>
    <row r="55" spans="1:20" ht="12.5">
      <c r="A55">
        <v>5</v>
      </c>
      <c r="B55">
        <v>1</v>
      </c>
      <c r="C55">
        <v>5.0999999999999996</v>
      </c>
      <c r="D55">
        <v>2.1</v>
      </c>
      <c r="L55" s="775" t="s">
        <v>449</v>
      </c>
      <c r="M55" s="783">
        <v>13</v>
      </c>
      <c r="N55" s="730">
        <v>19</v>
      </c>
      <c r="O55" s="730">
        <v>26</v>
      </c>
      <c r="P55" s="762">
        <v>343.20422000000008</v>
      </c>
      <c r="Q55" s="4"/>
      <c r="R55" s="4"/>
      <c r="S55" s="4"/>
    </row>
    <row r="56" spans="1:20" ht="12.5">
      <c r="A56">
        <v>5</v>
      </c>
      <c r="B56">
        <v>2</v>
      </c>
      <c r="C56">
        <v>5.2</v>
      </c>
      <c r="D56">
        <v>3.1</v>
      </c>
      <c r="L56" s="699" t="s">
        <v>960</v>
      </c>
      <c r="M56" s="693">
        <v>14</v>
      </c>
      <c r="N56" s="612">
        <v>19</v>
      </c>
      <c r="O56" s="612">
        <v>26</v>
      </c>
      <c r="P56" s="694">
        <v>343.20422000000008</v>
      </c>
      <c r="S56" t="s">
        <v>297</v>
      </c>
    </row>
    <row r="57" spans="1:20" ht="12.5">
      <c r="A57">
        <v>5</v>
      </c>
      <c r="B57">
        <v>3</v>
      </c>
      <c r="C57">
        <v>5.3</v>
      </c>
      <c r="D57">
        <v>1.25</v>
      </c>
      <c r="G57" s="540"/>
      <c r="H57" s="611"/>
      <c r="I57" s="612"/>
      <c r="J57" s="612"/>
      <c r="K57" s="603"/>
      <c r="L57" s="699" t="s">
        <v>365</v>
      </c>
      <c r="M57" s="693">
        <v>15</v>
      </c>
      <c r="N57" s="612">
        <v>22</v>
      </c>
      <c r="O57" s="612">
        <v>26</v>
      </c>
      <c r="P57" s="694">
        <v>343.20422000000008</v>
      </c>
    </row>
    <row r="58" spans="1:20" ht="12.5">
      <c r="A58">
        <v>6</v>
      </c>
      <c r="B58">
        <v>1</v>
      </c>
      <c r="C58">
        <v>6.1</v>
      </c>
      <c r="D58">
        <v>2.2999999999999998</v>
      </c>
      <c r="L58" s="699" t="s">
        <v>366</v>
      </c>
      <c r="M58" s="693">
        <v>16</v>
      </c>
      <c r="N58" s="612"/>
      <c r="O58" s="612">
        <v>26</v>
      </c>
      <c r="P58" s="694">
        <v>343.20422000000008</v>
      </c>
    </row>
    <row r="59" spans="1:20" ht="13" thickBot="1">
      <c r="A59">
        <v>6</v>
      </c>
      <c r="B59">
        <v>2</v>
      </c>
      <c r="C59">
        <v>6.2</v>
      </c>
      <c r="D59">
        <v>3.66</v>
      </c>
      <c r="L59" s="700" t="s">
        <v>348</v>
      </c>
      <c r="M59" s="695">
        <v>17</v>
      </c>
      <c r="N59" s="696"/>
      <c r="O59" s="696">
        <v>26</v>
      </c>
      <c r="P59" s="697">
        <v>343.20422000000008</v>
      </c>
    </row>
    <row r="60" spans="1:20">
      <c r="A60">
        <v>6</v>
      </c>
      <c r="B60">
        <v>3</v>
      </c>
      <c r="C60">
        <v>6.3</v>
      </c>
      <c r="D60">
        <v>1.5</v>
      </c>
      <c r="F60" s="61"/>
      <c r="L60" s="61"/>
      <c r="M60" s="61"/>
      <c r="N60" s="61"/>
    </row>
    <row r="61" spans="1:20" s="61" customFormat="1" ht="12.5">
      <c r="A61" s="61" t="s">
        <v>1026</v>
      </c>
      <c r="D61" s="62"/>
      <c r="F61" s="65"/>
      <c r="G61"/>
      <c r="H61"/>
      <c r="I61"/>
      <c r="J61" s="65" t="s">
        <v>1043</v>
      </c>
      <c r="K61"/>
      <c r="S61"/>
      <c r="T61"/>
    </row>
    <row r="62" spans="1:20" s="61" customFormat="1" ht="13">
      <c r="A62" s="173" t="s">
        <v>49</v>
      </c>
      <c r="C62"/>
      <c r="F62" s="114" t="s">
        <v>1062</v>
      </c>
      <c r="S62"/>
      <c r="T62"/>
    </row>
    <row r="63" spans="1:20" s="61" customFormat="1" ht="13">
      <c r="A63" s="111" t="s">
        <v>1014</v>
      </c>
      <c r="B63" s="210" t="s">
        <v>39</v>
      </c>
      <c r="C63" s="205" t="s">
        <v>37</v>
      </c>
      <c r="D63" s="207" t="s">
        <v>1165</v>
      </c>
      <c r="E63" s="174" t="s">
        <v>1204</v>
      </c>
      <c r="G63" s="138" t="s">
        <v>50</v>
      </c>
    </row>
    <row r="64" spans="1:20" s="61" customFormat="1" ht="13">
      <c r="A64" s="61">
        <v>25</v>
      </c>
      <c r="B64" s="69">
        <f>A64/200</f>
        <v>0.125</v>
      </c>
      <c r="C64" s="206">
        <f>$P$49+$P$49*B64</f>
        <v>447.76027597499996</v>
      </c>
      <c r="D64">
        <f>A64/100</f>
        <v>0.25</v>
      </c>
      <c r="E64" s="61">
        <f>C$85+C$85*D64</f>
        <v>25000</v>
      </c>
      <c r="G64" s="138" t="s">
        <v>824</v>
      </c>
      <c r="H64" s="550" t="s">
        <v>44</v>
      </c>
      <c r="I64" s="552" t="s">
        <v>1204</v>
      </c>
      <c r="J64" s="550" t="s">
        <v>1165</v>
      </c>
      <c r="K64" s="552" t="s">
        <v>37</v>
      </c>
    </row>
    <row r="65" spans="1:20" s="61" customFormat="1">
      <c r="A65" s="61">
        <v>5</v>
      </c>
      <c r="B65" s="69">
        <f>A65/200</f>
        <v>2.5000000000000001E-2</v>
      </c>
      <c r="C65" s="206">
        <f>$P$49+$P$49*B65</f>
        <v>407.95936255499993</v>
      </c>
      <c r="D65">
        <f>A65/100</f>
        <v>0.05</v>
      </c>
      <c r="E65" s="61">
        <f>C$85+C$85*D65</f>
        <v>21000</v>
      </c>
      <c r="G65" s="49" t="s">
        <v>873</v>
      </c>
      <c r="H65" s="551">
        <f>0.25/2</f>
        <v>0.125</v>
      </c>
      <c r="I65" s="115">
        <f>P$49+P$49*H65</f>
        <v>447.76027597499996</v>
      </c>
      <c r="J65" s="554">
        <v>0.25</v>
      </c>
      <c r="K65" s="539">
        <f>C$85+C$85*J65</f>
        <v>25000</v>
      </c>
    </row>
    <row r="66" spans="1:20" s="61" customFormat="1">
      <c r="A66" s="61">
        <v>3.5</v>
      </c>
      <c r="B66" s="69">
        <f>A66/200</f>
        <v>1.7500000000000002E-2</v>
      </c>
      <c r="C66" s="206">
        <f>$P$49+$P$49*B66</f>
        <v>404.97429404849993</v>
      </c>
      <c r="D66">
        <f>A66/100</f>
        <v>3.5000000000000003E-2</v>
      </c>
      <c r="E66" s="61">
        <f>C$85+C$85*D66</f>
        <v>20700</v>
      </c>
      <c r="G66" s="49" t="s">
        <v>874</v>
      </c>
      <c r="H66" s="551">
        <f>0.05/2</f>
        <v>2.5000000000000001E-2</v>
      </c>
      <c r="I66" s="115">
        <f>P$49+P$49*H66</f>
        <v>407.95936255499993</v>
      </c>
      <c r="J66" s="554">
        <v>0.05</v>
      </c>
      <c r="K66" s="539">
        <f>C$85+C$85*J66</f>
        <v>21000</v>
      </c>
    </row>
    <row r="67" spans="1:20" s="61" customFormat="1">
      <c r="A67" s="61">
        <v>2</v>
      </c>
      <c r="B67" s="69">
        <f>A67/200</f>
        <v>0.01</v>
      </c>
      <c r="C67" s="206">
        <f>$P$49+$P$49*B67</f>
        <v>401.98922554199993</v>
      </c>
      <c r="D67">
        <f>A67/100</f>
        <v>0.02</v>
      </c>
      <c r="E67" s="61">
        <f>C$85+C$85*D67</f>
        <v>20400</v>
      </c>
      <c r="G67" s="49" t="s">
        <v>875</v>
      </c>
      <c r="H67" s="551">
        <f>0.035/2</f>
        <v>1.7500000000000002E-2</v>
      </c>
      <c r="I67" s="115">
        <f>P$49+P$49*H67</f>
        <v>404.97429404849993</v>
      </c>
      <c r="J67" s="554">
        <v>3.5000000000000003E-2</v>
      </c>
      <c r="K67" s="539">
        <f>C$85+C$85*J67</f>
        <v>20700</v>
      </c>
    </row>
    <row r="68" spans="1:20" s="61" customFormat="1" ht="13">
      <c r="C68" s="101" t="s">
        <v>36</v>
      </c>
      <c r="E68" s="101" t="s">
        <v>42</v>
      </c>
      <c r="G68" s="75" t="s">
        <v>876</v>
      </c>
      <c r="H68" s="551">
        <f>0.02/2</f>
        <v>0.01</v>
      </c>
      <c r="I68" s="115">
        <f>P$49+P$49*H68</f>
        <v>401.98922554199993</v>
      </c>
      <c r="J68" s="554">
        <v>0.02</v>
      </c>
      <c r="K68" s="539">
        <f>C$85+C$85*J68</f>
        <v>20400</v>
      </c>
    </row>
    <row r="69" spans="1:20" s="61" customFormat="1" ht="13">
      <c r="B69" s="101"/>
      <c r="H69" s="539" t="s">
        <v>43</v>
      </c>
      <c r="I69" s="553" t="s">
        <v>36</v>
      </c>
      <c r="J69" s="553"/>
      <c r="K69" s="539" t="s">
        <v>41</v>
      </c>
    </row>
    <row r="70" spans="1:20" s="61" customFormat="1" ht="13">
      <c r="A70" s="138" t="s">
        <v>51</v>
      </c>
      <c r="B70" s="99"/>
      <c r="C70"/>
      <c r="D70" s="65" t="s">
        <v>1043</v>
      </c>
      <c r="F70" s="61" t="s">
        <v>1026</v>
      </c>
      <c r="R70" s="62"/>
      <c r="S70" s="62"/>
      <c r="T70" s="62"/>
    </row>
    <row r="71" spans="1:20" s="61" customFormat="1" ht="13">
      <c r="A71" s="138" t="s">
        <v>80</v>
      </c>
      <c r="B71" s="208" t="s">
        <v>47</v>
      </c>
      <c r="C71" s="138" t="s">
        <v>1204</v>
      </c>
      <c r="D71" s="207" t="s">
        <v>1176</v>
      </c>
      <c r="E71" s="138" t="s">
        <v>1204</v>
      </c>
    </row>
    <row r="72" spans="1:20" s="61" customFormat="1">
      <c r="A72" s="62">
        <v>1</v>
      </c>
      <c r="B72" s="209">
        <v>0.98</v>
      </c>
      <c r="C72" s="206">
        <f>B76*C$67</f>
        <v>414.04890230825993</v>
      </c>
      <c r="D72" s="69">
        <v>0.9</v>
      </c>
      <c r="E72" s="61">
        <f>$K$68*D73</f>
        <v>20400</v>
      </c>
    </row>
    <row r="73" spans="1:20" s="61" customFormat="1">
      <c r="A73" s="62">
        <v>2</v>
      </c>
      <c r="B73" s="209">
        <v>0.99</v>
      </c>
      <c r="C73" s="206">
        <f>B75*C$67</f>
        <v>406.00911779741995</v>
      </c>
      <c r="D73" s="69">
        <v>1</v>
      </c>
      <c r="E73" s="61">
        <f>$K$68*D74</f>
        <v>22440</v>
      </c>
      <c r="L73" s="62"/>
      <c r="M73" s="62"/>
      <c r="N73" s="62"/>
    </row>
    <row r="74" spans="1:20" s="62" customFormat="1">
      <c r="A74" s="62">
        <v>3</v>
      </c>
      <c r="B74" s="209">
        <v>1</v>
      </c>
      <c r="C74" s="206">
        <f>B74*C$67</f>
        <v>401.98922554199993</v>
      </c>
      <c r="D74" s="69">
        <v>1.1000000000000001</v>
      </c>
      <c r="E74" s="61">
        <f>$K$68*D75</f>
        <v>28560</v>
      </c>
      <c r="G74" s="61"/>
      <c r="H74" s="61"/>
      <c r="I74" s="61"/>
      <c r="J74" s="61"/>
      <c r="K74" s="61"/>
      <c r="L74" s="61"/>
      <c r="M74" s="61"/>
      <c r="N74" s="61"/>
      <c r="P74" s="61"/>
      <c r="R74" s="61"/>
      <c r="S74" s="61"/>
      <c r="T74" s="61"/>
    </row>
    <row r="75" spans="1:20" s="61" customFormat="1">
      <c r="A75" s="62">
        <v>4</v>
      </c>
      <c r="B75" s="209">
        <v>1.01</v>
      </c>
      <c r="C75" s="206">
        <f>B73*C$67</f>
        <v>397.96933328657991</v>
      </c>
      <c r="D75" s="69">
        <v>1.4</v>
      </c>
      <c r="E75" s="61">
        <f>$K$68*D76</f>
        <v>32640</v>
      </c>
      <c r="F75" s="61" t="s">
        <v>1026</v>
      </c>
      <c r="P75" s="62"/>
    </row>
    <row r="76" spans="1:20" s="61" customFormat="1">
      <c r="A76" s="61">
        <v>5</v>
      </c>
      <c r="B76" s="209">
        <v>1.03</v>
      </c>
      <c r="C76" s="206">
        <f>B72*C$67</f>
        <v>393.94944103115995</v>
      </c>
      <c r="D76" s="69">
        <v>1.6</v>
      </c>
      <c r="E76" s="61">
        <f>$K$68*D72</f>
        <v>18360</v>
      </c>
    </row>
    <row r="77" spans="1:20" s="61" customFormat="1">
      <c r="C77" s="61" t="s">
        <v>46</v>
      </c>
      <c r="E77" s="61" t="s">
        <v>45</v>
      </c>
      <c r="H77" s="62"/>
      <c r="J77" s="62"/>
    </row>
    <row r="78" spans="1:20" s="61" customFormat="1">
      <c r="A78" s="62"/>
      <c r="H78" s="62"/>
      <c r="J78" s="62"/>
    </row>
    <row r="79" spans="1:20" s="61" customFormat="1" ht="13">
      <c r="A79" s="174" t="s">
        <v>52</v>
      </c>
      <c r="C79" s="67"/>
      <c r="E79" s="61" t="s">
        <v>1042</v>
      </c>
      <c r="J79" s="62"/>
    </row>
    <row r="80" spans="1:20" s="61" customFormat="1" ht="12">
      <c r="A80" s="61" t="s">
        <v>1039</v>
      </c>
      <c r="B80" s="97" t="s">
        <v>40</v>
      </c>
      <c r="C80" s="1" t="s">
        <v>58</v>
      </c>
      <c r="D80"/>
      <c r="I80" s="62"/>
    </row>
    <row r="81" spans="1:24" s="61" customFormat="1" ht="13">
      <c r="A81" s="62">
        <v>1</v>
      </c>
      <c r="B81" s="61">
        <v>160</v>
      </c>
      <c r="C81" s="61">
        <v>110000</v>
      </c>
      <c r="E81" s="61">
        <v>25000</v>
      </c>
      <c r="F81" s="61">
        <v>45</v>
      </c>
      <c r="G81" s="67">
        <f>1-4.5*EXP(-E81*POWER(F81,-2))</f>
        <v>0.99998043173850226</v>
      </c>
      <c r="I81"/>
      <c r="J81"/>
      <c r="K81"/>
    </row>
    <row r="82" spans="1:24" s="61" customFormat="1">
      <c r="A82" s="62">
        <v>2</v>
      </c>
      <c r="B82" s="61">
        <v>140</v>
      </c>
      <c r="C82" s="61">
        <v>90000</v>
      </c>
      <c r="E82" s="61">
        <v>25000</v>
      </c>
      <c r="F82" s="61">
        <v>60</v>
      </c>
      <c r="G82" s="61">
        <f>1-4.5*EXP(-E82*POWER(F82,-2))</f>
        <v>0.99566210923419618</v>
      </c>
      <c r="I82"/>
      <c r="J82"/>
      <c r="K82"/>
    </row>
    <row r="83" spans="1:24" s="61" customFormat="1">
      <c r="A83" s="62">
        <v>3</v>
      </c>
      <c r="B83" s="61">
        <v>115</v>
      </c>
      <c r="C83" s="61">
        <v>70000</v>
      </c>
      <c r="E83" s="61">
        <v>25000</v>
      </c>
      <c r="F83" s="61">
        <v>70</v>
      </c>
      <c r="G83" s="61">
        <f>1-4.5*EXP(-E83*POWER(F83,-2))</f>
        <v>0.9726205738905157</v>
      </c>
      <c r="I83"/>
      <c r="J83"/>
      <c r="K83"/>
    </row>
    <row r="84" spans="1:24" s="61" customFormat="1">
      <c r="A84" s="62">
        <v>4</v>
      </c>
      <c r="B84" s="61">
        <v>85</v>
      </c>
      <c r="C84" s="61">
        <v>35000</v>
      </c>
      <c r="E84" s="61">
        <v>25000</v>
      </c>
      <c r="F84" s="61">
        <v>85</v>
      </c>
      <c r="G84" s="61">
        <f>1-4.5*EXP(-E84*POWER(F84,-2))</f>
        <v>0.85859543131493199</v>
      </c>
      <c r="I84"/>
      <c r="J84"/>
      <c r="K84"/>
    </row>
    <row r="85" spans="1:24" s="61" customFormat="1">
      <c r="A85" s="61">
        <v>5</v>
      </c>
      <c r="B85" s="61">
        <v>60</v>
      </c>
      <c r="C85" s="61">
        <v>20000</v>
      </c>
      <c r="E85" s="61">
        <v>25000</v>
      </c>
      <c r="F85" s="61">
        <v>100</v>
      </c>
      <c r="G85" s="61">
        <f>1-4.5*EXP(-E85*POWER(F85,-2))</f>
        <v>0.63061750619245538</v>
      </c>
      <c r="I85"/>
      <c r="J85"/>
      <c r="K85"/>
    </row>
    <row r="86" spans="1:24" s="2" customFormat="1">
      <c r="O86" s="61"/>
    </row>
    <row r="87" spans="1:24" s="50" customFormat="1">
      <c r="A87" s="580"/>
      <c r="B87" s="580"/>
      <c r="C87" s="580"/>
      <c r="D87" s="580"/>
      <c r="E87" s="580"/>
      <c r="F87" s="580"/>
      <c r="G87" s="580"/>
      <c r="H87" s="580"/>
      <c r="I87" s="580"/>
      <c r="J87" s="580"/>
      <c r="K87" s="580"/>
      <c r="L87" s="580"/>
      <c r="M87" s="580"/>
      <c r="N87" s="580"/>
      <c r="O87" s="578"/>
      <c r="P87" s="580"/>
      <c r="Q87" s="580"/>
      <c r="R87" s="580"/>
      <c r="S87" s="580"/>
      <c r="T87" s="580"/>
      <c r="U87" s="580"/>
      <c r="V87" s="580"/>
      <c r="W87" s="580"/>
      <c r="X87" s="580"/>
    </row>
    <row r="88" spans="1:24" s="49" customFormat="1">
      <c r="A88" s="94" t="s">
        <v>1085</v>
      </c>
      <c r="C88" s="49" t="s">
        <v>1026</v>
      </c>
      <c r="F88" s="49" t="s">
        <v>69</v>
      </c>
      <c r="R88" s="1402" t="s">
        <v>268</v>
      </c>
      <c r="S88" s="1402"/>
    </row>
    <row r="89" spans="1:24" s="49" customFormat="1">
      <c r="A89" s="153" t="s">
        <v>65</v>
      </c>
      <c r="B89" s="153" t="s">
        <v>260</v>
      </c>
      <c r="C89" s="153" t="s">
        <v>258</v>
      </c>
      <c r="D89" s="153" t="s">
        <v>259</v>
      </c>
      <c r="E89" s="153" t="s">
        <v>261</v>
      </c>
      <c r="F89" s="153" t="s">
        <v>262</v>
      </c>
      <c r="G89" s="153" t="s">
        <v>263</v>
      </c>
      <c r="H89" s="50"/>
    </row>
    <row r="90" spans="1:24" s="49" customFormat="1">
      <c r="A90" s="184">
        <v>5</v>
      </c>
      <c r="B90" s="195">
        <f>IF(($A90*LOOKUP(B$103,$C$43:$C$60,$D$43:$D$60))&lt;=LOOKUP(B$104,$M$43:$M$49,$O$43:$O$49),($C$13*B$108+$E$13*POWER(($A90*LOOKUP(B$103,$C$43:$C$60,$D$43:$D$60)),$G$13))/(B$108+POWER(($A90*LOOKUP(B$103,$C$43:$C$60,$D$43:$D$60)),$G$13)),IF(($A90*LOOKUP(B$103,$C$43:$C$60,$D$43:$D$60))&gt;LOOKUP(B$105,$A$81:$A$85,$B$81:$B$85),$C$26-$E$26*EXP(-B$109*POWER(($A90*LOOKUP(B$103,$C$43:$C$60,$D$43:$D$60)),$G$26)),1))</f>
        <v>0.18768445578067314</v>
      </c>
      <c r="C90" s="195">
        <f t="shared" ref="B90:G102" si="2">IF(($A90*LOOKUP(C$103,$C$43:$C$60,$D$43:$D$60))&lt;=LOOKUP(C$104,$M$43:$M$49,$O$43:$O$49),($C$13*C$108+$E$13*POWER(($A90*LOOKUP(C$103,$C$43:$C$60,$D$43:$D$60)),$G$13))/(C$108+POWER(($A90*LOOKUP(C$103,$C$43:$C$60,$D$43:$D$60)),$G$13)),IF(($A90*LOOKUP(C$103,$C$43:$C$60,$D$43:$D$60))&gt;LOOKUP(C$105,$A$81:$A$85,$B$81:$B$85),$C$26-$E$26*EXP(-C$109*POWER(($A90*LOOKUP(C$103,$C$43:$C$60,$D$43:$D$60)),$G$26)),1))</f>
        <v>0.44371841214357388</v>
      </c>
      <c r="D90" s="195">
        <f t="shared" si="2"/>
        <v>0.44643630951553026</v>
      </c>
      <c r="E90" s="195">
        <f t="shared" si="2"/>
        <v>0.44371841214357388</v>
      </c>
      <c r="F90" s="195">
        <f>IF(($A90*LOOKUP(F$103,$C$43:$C$60,$D$43:$D$60))&lt;=LOOKUP(F$104,$M$43:$M$49,$O$43:$O$49),($C$13*F$108+$E$13*POWER(($A90*LOOKUP(F$103,$C$43:$C$60,$D$43:$D$60)),$G$13))/(F$108+POWER(($A90*LOOKUP(F$103,$C$43:$C$60,$D$43:$D$60)),$G$13)),IF(($A90*LOOKUP(F$103,$C$43:$C$60,$D$43:$D$60))&gt;LOOKUP(F$105,$A$81:$A$85,$B$81:$B$85),$C$26-$E$26*EXP(-F$109*POWER(($A90*LOOKUP(F$103,$C$43:$C$60,$D$43:$D$60)),$G$26)),1))</f>
        <v>0.44643630951553026</v>
      </c>
      <c r="G90" s="195">
        <f t="shared" si="2"/>
        <v>0.44693405396527125</v>
      </c>
    </row>
    <row r="91" spans="1:24" s="49" customFormat="1">
      <c r="A91" s="184">
        <v>10</v>
      </c>
      <c r="B91" s="195">
        <f t="shared" si="2"/>
        <v>0.65833167143619264</v>
      </c>
      <c r="C91" s="195">
        <f t="shared" si="2"/>
        <v>0.86931727255086955</v>
      </c>
      <c r="D91" s="195">
        <f t="shared" si="2"/>
        <v>0.87056236420092592</v>
      </c>
      <c r="E91" s="195">
        <f t="shared" si="2"/>
        <v>0.86931727255086955</v>
      </c>
      <c r="F91" s="195">
        <f t="shared" si="2"/>
        <v>0.87056236420092592</v>
      </c>
      <c r="G91" s="195">
        <f t="shared" si="2"/>
        <v>0.87078912779319029</v>
      </c>
    </row>
    <row r="92" spans="1:24" s="49" customFormat="1">
      <c r="A92" s="184">
        <v>15</v>
      </c>
      <c r="B92" s="195">
        <f t="shared" si="2"/>
        <v>0.86950489144282905</v>
      </c>
      <c r="C92" s="195">
        <f t="shared" si="2"/>
        <v>0.95833987059700765</v>
      </c>
      <c r="D92" s="195">
        <f t="shared" si="2"/>
        <v>0.95877701195241793</v>
      </c>
      <c r="E92" s="195">
        <f t="shared" si="2"/>
        <v>0.95833987059700765</v>
      </c>
      <c r="F92" s="195">
        <f t="shared" si="2"/>
        <v>0.95877701195241793</v>
      </c>
      <c r="G92" s="195">
        <f t="shared" si="2"/>
        <v>0.95885653504901347</v>
      </c>
    </row>
    <row r="93" spans="1:24" s="49" customFormat="1">
      <c r="A93" s="184">
        <v>20</v>
      </c>
      <c r="B93" s="195">
        <f t="shared" si="2"/>
        <v>0.94141440287332345</v>
      </c>
      <c r="C93" s="195">
        <f t="shared" si="2"/>
        <v>0.98229361323896403</v>
      </c>
      <c r="D93" s="195">
        <f t="shared" si="2"/>
        <v>0.98248400107674205</v>
      </c>
      <c r="E93" s="195">
        <f t="shared" si="2"/>
        <v>0.98229361323896403</v>
      </c>
      <c r="F93" s="195">
        <f t="shared" si="2"/>
        <v>0.98248400107674205</v>
      </c>
      <c r="G93" s="195">
        <f t="shared" si="2"/>
        <v>0.9825186249767226</v>
      </c>
    </row>
    <row r="94" spans="1:24" s="49" customFormat="1">
      <c r="A94" s="184">
        <v>30</v>
      </c>
      <c r="B94" s="195">
        <f t="shared" si="2"/>
        <v>0.98232233234001509</v>
      </c>
      <c r="C94" s="195">
        <f t="shared" si="2"/>
        <v>1</v>
      </c>
      <c r="D94" s="195">
        <f t="shared" si="2"/>
        <v>1</v>
      </c>
      <c r="E94" s="195">
        <f t="shared" si="2"/>
        <v>1</v>
      </c>
      <c r="F94" s="195">
        <f t="shared" si="2"/>
        <v>1</v>
      </c>
      <c r="G94" s="195">
        <f t="shared" si="2"/>
        <v>1</v>
      </c>
    </row>
    <row r="95" spans="1:24" s="49" customFormat="1">
      <c r="A95" s="184">
        <v>50</v>
      </c>
      <c r="B95" s="195">
        <f t="shared" si="2"/>
        <v>1</v>
      </c>
      <c r="C95" s="195">
        <f t="shared" si="2"/>
        <v>1</v>
      </c>
      <c r="D95" s="195">
        <f t="shared" si="2"/>
        <v>1</v>
      </c>
      <c r="E95" s="195">
        <f t="shared" si="2"/>
        <v>1</v>
      </c>
      <c r="F95" s="195">
        <f t="shared" si="2"/>
        <v>1</v>
      </c>
      <c r="G95" s="195">
        <f t="shared" si="2"/>
        <v>1</v>
      </c>
    </row>
    <row r="96" spans="1:24" s="49" customFormat="1">
      <c r="A96" s="184">
        <v>60</v>
      </c>
      <c r="B96" s="195">
        <f t="shared" si="2"/>
        <v>1</v>
      </c>
      <c r="C96" s="195">
        <f t="shared" si="2"/>
        <v>1</v>
      </c>
      <c r="D96" s="195">
        <f t="shared" si="2"/>
        <v>1</v>
      </c>
      <c r="E96" s="195">
        <f t="shared" si="2"/>
        <v>1</v>
      </c>
      <c r="F96" s="195">
        <f t="shared" si="2"/>
        <v>1</v>
      </c>
      <c r="G96" s="195">
        <f t="shared" si="2"/>
        <v>1</v>
      </c>
    </row>
    <row r="97" spans="1:21" s="49" customFormat="1">
      <c r="A97" s="184">
        <v>90</v>
      </c>
      <c r="B97" s="195">
        <f t="shared" si="2"/>
        <v>1</v>
      </c>
      <c r="C97" s="195">
        <f t="shared" si="2"/>
        <v>1</v>
      </c>
      <c r="D97" s="195">
        <f t="shared" si="2"/>
        <v>1</v>
      </c>
      <c r="E97" s="195">
        <f t="shared" si="2"/>
        <v>0.99114512213623684</v>
      </c>
      <c r="F97" s="195">
        <f t="shared" si="2"/>
        <v>0.86198143138122674</v>
      </c>
      <c r="G97" s="195">
        <f t="shared" si="2"/>
        <v>1</v>
      </c>
    </row>
    <row r="98" spans="1:21" s="49" customFormat="1">
      <c r="A98" s="184">
        <v>120</v>
      </c>
      <c r="B98" s="195">
        <f t="shared" si="2"/>
        <v>1</v>
      </c>
      <c r="C98" s="195">
        <f t="shared" si="2"/>
        <v>1</v>
      </c>
      <c r="D98" s="195">
        <f t="shared" si="2"/>
        <v>1</v>
      </c>
      <c r="E98" s="195">
        <f t="shared" si="2"/>
        <v>0.86477073941370697</v>
      </c>
      <c r="F98" s="195">
        <f t="shared" si="2"/>
        <v>0.36613710585529746</v>
      </c>
      <c r="G98" s="195">
        <f t="shared" si="2"/>
        <v>1</v>
      </c>
    </row>
    <row r="99" spans="1:21" s="49" customFormat="1">
      <c r="A99" s="184">
        <v>150</v>
      </c>
      <c r="B99" s="195">
        <f t="shared" si="2"/>
        <v>1</v>
      </c>
      <c r="C99" s="195">
        <f t="shared" si="2"/>
        <v>0.98593298527208451</v>
      </c>
      <c r="D99" s="195">
        <f t="shared" si="2"/>
        <v>0.9840886502432159</v>
      </c>
      <c r="E99" s="195">
        <f t="shared" si="2"/>
        <v>0.52242483332744949</v>
      </c>
      <c r="F99" s="195">
        <f t="shared" si="2"/>
        <v>-0.28361125275787336</v>
      </c>
      <c r="G99" s="195">
        <f t="shared" si="2"/>
        <v>1</v>
      </c>
    </row>
    <row r="100" spans="1:21" s="49" customFormat="1">
      <c r="A100" s="184">
        <v>180</v>
      </c>
      <c r="B100" s="195">
        <f t="shared" si="2"/>
        <v>0.85898451418883459</v>
      </c>
      <c r="C100" s="195">
        <f t="shared" si="2"/>
        <v>0.91803624640568571</v>
      </c>
      <c r="D100" s="195">
        <f t="shared" si="2"/>
        <v>0.91071507365033366</v>
      </c>
      <c r="E100" s="195">
        <f t="shared" si="2"/>
        <v>5.2225479514469653E-2</v>
      </c>
      <c r="F100" s="195">
        <f t="shared" si="2"/>
        <v>-0.88318837719154009</v>
      </c>
      <c r="G100" s="195">
        <f t="shared" si="2"/>
        <v>0.96191829777060323</v>
      </c>
    </row>
    <row r="101" spans="1:21" s="49" customFormat="1">
      <c r="A101" s="252">
        <v>210</v>
      </c>
      <c r="B101" s="195">
        <f t="shared" si="2"/>
        <v>0.64659490082600479</v>
      </c>
      <c r="C101" s="195">
        <f t="shared" si="2"/>
        <v>0.7627829528249831</v>
      </c>
      <c r="D101" s="195">
        <f t="shared" si="2"/>
        <v>0.74739356724639827</v>
      </c>
      <c r="E101" s="195">
        <f t="shared" si="2"/>
        <v>-0.4328034108811234</v>
      </c>
      <c r="F101" s="195">
        <f t="shared" si="2"/>
        <v>-1.3728159081937186</v>
      </c>
      <c r="G101" s="195">
        <f t="shared" si="2"/>
        <v>0.86492895088643595</v>
      </c>
    </row>
    <row r="102" spans="1:21" s="49" customFormat="1">
      <c r="A102" s="253">
        <v>300</v>
      </c>
      <c r="B102" s="254">
        <f t="shared" si="2"/>
        <v>-0.29357632840878267</v>
      </c>
      <c r="C102" s="254">
        <f t="shared" si="2"/>
        <v>-6.4044695170381027E-2</v>
      </c>
      <c r="D102" s="254">
        <f t="shared" si="2"/>
        <v>-9.7327191169360949E-2</v>
      </c>
      <c r="E102" s="254">
        <f t="shared" si="2"/>
        <v>-1.5684423328736701</v>
      </c>
      <c r="F102" s="254">
        <f t="shared" si="2"/>
        <v>-2.2886508239900176</v>
      </c>
      <c r="G102" s="254">
        <f t="shared" si="2"/>
        <v>0.19255324067164126</v>
      </c>
    </row>
    <row r="103" spans="1:21" s="49" customFormat="1">
      <c r="A103" s="249" t="s">
        <v>82</v>
      </c>
      <c r="B103" s="245">
        <v>2.1</v>
      </c>
      <c r="C103" s="245">
        <v>2.2999999999999998</v>
      </c>
      <c r="D103" s="245">
        <v>2.2000000000000002</v>
      </c>
      <c r="E103" s="245">
        <v>2.2999999999999998</v>
      </c>
      <c r="F103" s="245">
        <v>2.2000000000000002</v>
      </c>
      <c r="G103" s="245">
        <v>2.2999999999999998</v>
      </c>
    </row>
    <row r="104" spans="1:21" s="51" customFormat="1">
      <c r="A104" s="250" t="s">
        <v>76</v>
      </c>
      <c r="B104" s="244">
        <v>6</v>
      </c>
      <c r="C104" s="245">
        <v>5</v>
      </c>
      <c r="D104" s="245">
        <v>5</v>
      </c>
      <c r="E104" s="245">
        <v>2</v>
      </c>
      <c r="F104" s="245">
        <v>2</v>
      </c>
      <c r="G104" s="245">
        <v>5</v>
      </c>
      <c r="O104" s="49"/>
    </row>
    <row r="105" spans="1:21" s="51" customFormat="1">
      <c r="A105" s="251" t="s">
        <v>67</v>
      </c>
      <c r="B105" s="246">
        <v>1</v>
      </c>
      <c r="C105" s="246">
        <v>2</v>
      </c>
      <c r="D105" s="246">
        <v>2</v>
      </c>
      <c r="E105" s="246">
        <v>4</v>
      </c>
      <c r="F105" s="246">
        <v>5</v>
      </c>
      <c r="G105" s="246">
        <v>1</v>
      </c>
    </row>
    <row r="106" spans="1:21" s="51" customFormat="1">
      <c r="A106" s="251" t="s">
        <v>77</v>
      </c>
      <c r="B106" s="246">
        <v>2</v>
      </c>
      <c r="C106" s="246">
        <v>3</v>
      </c>
      <c r="D106" s="246">
        <v>0.8</v>
      </c>
      <c r="E106" s="246">
        <v>3</v>
      </c>
      <c r="F106" s="246">
        <v>0.8</v>
      </c>
      <c r="G106" s="246">
        <v>0.4</v>
      </c>
    </row>
    <row r="107" spans="1:21" s="51" customFormat="1">
      <c r="A107" s="251" t="s">
        <v>68</v>
      </c>
      <c r="B107" s="246">
        <v>2</v>
      </c>
      <c r="C107" s="246">
        <v>4</v>
      </c>
      <c r="D107" s="246">
        <v>4</v>
      </c>
      <c r="E107" s="246">
        <v>4</v>
      </c>
      <c r="F107" s="246">
        <v>4</v>
      </c>
      <c r="G107" s="246">
        <v>4</v>
      </c>
    </row>
    <row r="108" spans="1:21" s="49" customFormat="1">
      <c r="A108" s="76" t="s">
        <v>863</v>
      </c>
      <c r="B108" s="54">
        <f t="shared" ref="B108:G108" si="3">LOOKUP(B104,$M43:$M49,$P43:$P49)+(LOOKUP(B104,$M43:$M49,$P43:$P49)*(B106/200)*LOOKUP(B107,$A72:$A76,$B72:$B76))</f>
        <v>595.88997126288007</v>
      </c>
      <c r="C108" s="54">
        <f t="shared" si="3"/>
        <v>172.60147484608001</v>
      </c>
      <c r="D108" s="54">
        <f t="shared" si="3"/>
        <v>170.712490572288</v>
      </c>
      <c r="E108" s="54">
        <f t="shared" si="3"/>
        <v>172.60147484608001</v>
      </c>
      <c r="F108" s="54">
        <f t="shared" si="3"/>
        <v>170.712490572288</v>
      </c>
      <c r="G108" s="54">
        <f t="shared" si="3"/>
        <v>170.36903888614401</v>
      </c>
      <c r="O108" s="51"/>
      <c r="U108" s="51"/>
    </row>
    <row r="109" spans="1:21" s="49" customFormat="1">
      <c r="A109" s="76" t="s">
        <v>864</v>
      </c>
      <c r="B109" s="49">
        <f t="shared" ref="B109:G109" si="4">(LOOKUP(B105,$A81:$A85,$C81:$C85)+LOOKUP(B105,$A81:$A85,$C81:$C85)*(B106/100))*LOOKUP(B107,$A72:$A76,$D72:$D76)</f>
        <v>112200</v>
      </c>
      <c r="C109" s="49">
        <f t="shared" si="4"/>
        <v>129779.99999999999</v>
      </c>
      <c r="D109" s="49">
        <f t="shared" si="4"/>
        <v>127007.99999999999</v>
      </c>
      <c r="E109" s="49">
        <f t="shared" si="4"/>
        <v>50470</v>
      </c>
      <c r="F109" s="49">
        <f t="shared" si="4"/>
        <v>28224</v>
      </c>
      <c r="G109" s="49">
        <f t="shared" si="4"/>
        <v>154616</v>
      </c>
      <c r="U109" s="51"/>
    </row>
    <row r="110" spans="1:21" s="49" customFormat="1">
      <c r="B110" s="49" t="s">
        <v>1026</v>
      </c>
    </row>
    <row r="111" spans="1:21" s="49" customFormat="1">
      <c r="A111" s="49" t="s">
        <v>1154</v>
      </c>
    </row>
    <row r="112" spans="1:21" s="50" customFormat="1">
      <c r="A112" s="94"/>
      <c r="O112" s="49"/>
    </row>
    <row r="113" spans="1:24" s="50" customFormat="1">
      <c r="A113" s="579"/>
      <c r="B113" s="580"/>
      <c r="C113" s="580"/>
      <c r="D113" s="580"/>
      <c r="E113" s="580"/>
      <c r="F113" s="580"/>
      <c r="G113" s="580"/>
      <c r="H113" s="580"/>
      <c r="I113" s="580"/>
      <c r="J113" s="580"/>
      <c r="K113" s="580"/>
      <c r="L113" s="580"/>
      <c r="M113" s="580"/>
      <c r="N113" s="580"/>
      <c r="O113" s="580"/>
      <c r="P113" s="580"/>
      <c r="Q113" s="580"/>
      <c r="R113" s="580"/>
      <c r="S113" s="580"/>
      <c r="T113" s="580"/>
      <c r="U113" s="580"/>
      <c r="V113" s="580"/>
      <c r="W113" s="580"/>
      <c r="X113" s="580"/>
    </row>
    <row r="114" spans="1:24" s="49" customFormat="1">
      <c r="A114" s="94"/>
      <c r="E114" s="154" t="s">
        <v>1188</v>
      </c>
    </row>
    <row r="115" spans="1:24" s="49" customFormat="1" ht="13">
      <c r="A115" s="85" t="s">
        <v>1098</v>
      </c>
    </row>
    <row r="116" spans="1:24" s="49" customFormat="1" ht="13">
      <c r="A116" s="85" t="s">
        <v>575</v>
      </c>
      <c r="E116" s="51" t="s">
        <v>901</v>
      </c>
    </row>
    <row r="117" spans="1:24" s="49" customFormat="1" ht="12" thickBot="1">
      <c r="A117" s="255" t="s">
        <v>1095</v>
      </c>
      <c r="B117" s="255" t="s">
        <v>1096</v>
      </c>
      <c r="C117" s="255" t="s">
        <v>1097</v>
      </c>
      <c r="D117" s="153"/>
      <c r="E117" s="242" t="s">
        <v>870</v>
      </c>
      <c r="F117" s="157" t="s">
        <v>857</v>
      </c>
      <c r="G117" s="157" t="s">
        <v>900</v>
      </c>
    </row>
    <row r="118" spans="1:24" s="49" customFormat="1" ht="13">
      <c r="A118" s="184">
        <v>1</v>
      </c>
      <c r="B118" s="184">
        <v>1</v>
      </c>
      <c r="C118" s="184">
        <v>2</v>
      </c>
      <c r="E118" s="243">
        <v>10</v>
      </c>
      <c r="F118" s="54">
        <f t="shared" ref="F118:F135" si="5">IF((E118*C118)&lt;=$I$119+6,($C$13*$I$123+$E$13*POWER((E118*C118),$G$13))/($I$123+POWER((E118*C118),$G$13)),IF((E118*C118)&gt;$B$82,$C$26-$E$26*EXP(-$I$124*POWER((E118*C118),$G$26)),1))</f>
        <v>1</v>
      </c>
      <c r="G118" s="53">
        <f t="shared" ref="G118:G135" si="6">IF(F118&lt;0,0,F118)</f>
        <v>1</v>
      </c>
      <c r="H118" s="214" t="s">
        <v>59</v>
      </c>
      <c r="I118" s="215" t="s">
        <v>1032</v>
      </c>
      <c r="K118" s="216" t="s">
        <v>784</v>
      </c>
      <c r="L118" s="217"/>
      <c r="M118" s="218"/>
      <c r="N118" s="219"/>
      <c r="P118" s="219"/>
      <c r="Q118" s="219"/>
      <c r="R118" s="219"/>
    </row>
    <row r="119" spans="1:24" s="49" customFormat="1" ht="12.5">
      <c r="A119" s="184">
        <v>1</v>
      </c>
      <c r="B119" s="184">
        <v>2</v>
      </c>
      <c r="C119" s="184">
        <v>1.4</v>
      </c>
      <c r="E119" s="243">
        <v>10</v>
      </c>
      <c r="F119" s="54">
        <f t="shared" si="5"/>
        <v>0.97832713811377825</v>
      </c>
      <c r="G119" s="53">
        <f t="shared" si="6"/>
        <v>0.97832713811377825</v>
      </c>
      <c r="H119" s="165" t="s">
        <v>60</v>
      </c>
      <c r="I119" s="220">
        <f>N45</f>
        <v>12</v>
      </c>
      <c r="K119" s="221" t="s">
        <v>788</v>
      </c>
      <c r="L119" s="222">
        <v>1</v>
      </c>
      <c r="M119" s="223"/>
      <c r="N119" s="223"/>
      <c r="O119" s="219"/>
      <c r="P119" s="223"/>
      <c r="Q119" s="223"/>
      <c r="R119" s="223"/>
    </row>
    <row r="120" spans="1:24" s="49" customFormat="1" ht="12.5">
      <c r="A120" s="184">
        <v>1</v>
      </c>
      <c r="B120" s="184">
        <v>3</v>
      </c>
      <c r="C120" s="184">
        <v>1.35</v>
      </c>
      <c r="E120" s="243">
        <v>10</v>
      </c>
      <c r="F120" s="54">
        <f t="shared" si="5"/>
        <v>0.97583759522061453</v>
      </c>
      <c r="G120" s="53">
        <f t="shared" si="6"/>
        <v>0.97583759522061453</v>
      </c>
      <c r="H120" s="165" t="s">
        <v>67</v>
      </c>
      <c r="I120" s="220">
        <v>2</v>
      </c>
      <c r="K120" s="221" t="s">
        <v>924</v>
      </c>
      <c r="L120" s="222">
        <v>2</v>
      </c>
      <c r="M120" s="223"/>
      <c r="N120" s="223"/>
      <c r="O120" s="223"/>
      <c r="P120" s="223"/>
      <c r="Q120" s="223"/>
      <c r="R120" s="223"/>
    </row>
    <row r="121" spans="1:24" s="49" customFormat="1" ht="12.5">
      <c r="A121" s="184">
        <v>2</v>
      </c>
      <c r="B121" s="184">
        <v>1</v>
      </c>
      <c r="C121" s="184">
        <v>1</v>
      </c>
      <c r="E121" s="243">
        <v>10</v>
      </c>
      <c r="F121" s="54">
        <f t="shared" si="5"/>
        <v>0.94159526502323121</v>
      </c>
      <c r="G121" s="53">
        <f t="shared" si="6"/>
        <v>0.94159526502323121</v>
      </c>
      <c r="H121" s="165" t="s">
        <v>70</v>
      </c>
      <c r="I121" s="220">
        <v>2</v>
      </c>
      <c r="K121" s="221" t="s">
        <v>923</v>
      </c>
      <c r="L121" s="222">
        <v>3</v>
      </c>
      <c r="M121" s="223"/>
      <c r="N121" s="223"/>
      <c r="O121" s="223"/>
      <c r="P121" s="223"/>
      <c r="Q121" s="223"/>
      <c r="R121" s="223"/>
    </row>
    <row r="122" spans="1:24" s="49" customFormat="1" ht="12.5">
      <c r="A122" s="184">
        <v>2</v>
      </c>
      <c r="B122" s="184">
        <v>2</v>
      </c>
      <c r="C122" s="184">
        <v>1</v>
      </c>
      <c r="E122" s="243">
        <v>10</v>
      </c>
      <c r="F122" s="54">
        <f t="shared" si="5"/>
        <v>0.94159526502323121</v>
      </c>
      <c r="G122" s="53">
        <f t="shared" si="6"/>
        <v>0.94159526502323121</v>
      </c>
      <c r="H122" s="165" t="s">
        <v>71</v>
      </c>
      <c r="I122" s="220">
        <v>3</v>
      </c>
      <c r="K122" s="221" t="s">
        <v>925</v>
      </c>
      <c r="L122" s="222">
        <v>4</v>
      </c>
      <c r="M122" s="223"/>
      <c r="N122" s="223"/>
      <c r="O122" s="223"/>
      <c r="P122" s="223"/>
      <c r="Q122" s="223"/>
      <c r="R122" s="223"/>
    </row>
    <row r="123" spans="1:24" s="49" customFormat="1" ht="12.5">
      <c r="A123" s="184">
        <v>2</v>
      </c>
      <c r="B123" s="184">
        <v>3</v>
      </c>
      <c r="C123" s="184">
        <v>1</v>
      </c>
      <c r="E123" s="243">
        <v>10</v>
      </c>
      <c r="F123" s="54">
        <f t="shared" si="5"/>
        <v>0.94159526502323121</v>
      </c>
      <c r="G123" s="53">
        <f t="shared" si="6"/>
        <v>0.94159526502323121</v>
      </c>
      <c r="H123" s="165" t="s">
        <v>863</v>
      </c>
      <c r="I123" s="220">
        <f>$P$45+($P$45*(I121/200)*$B$74)</f>
        <v>71.217718727999994</v>
      </c>
      <c r="K123" s="221" t="s">
        <v>799</v>
      </c>
      <c r="L123" s="222">
        <v>5</v>
      </c>
      <c r="M123" s="223"/>
      <c r="N123" s="223"/>
      <c r="O123" s="223"/>
      <c r="P123" s="223"/>
      <c r="Q123" s="223"/>
      <c r="R123" s="223"/>
    </row>
    <row r="124" spans="1:24" s="75" customFormat="1" ht="13.5" thickBot="1">
      <c r="A124" s="184">
        <v>3</v>
      </c>
      <c r="B124" s="184">
        <v>1</v>
      </c>
      <c r="C124" s="184">
        <v>1.8</v>
      </c>
      <c r="D124" s="88"/>
      <c r="E124" s="243">
        <v>10</v>
      </c>
      <c r="F124" s="54">
        <f t="shared" si="5"/>
        <v>0.98983718780535979</v>
      </c>
      <c r="G124" s="53">
        <f t="shared" si="6"/>
        <v>0.98983718780535979</v>
      </c>
      <c r="H124" s="167" t="s">
        <v>864</v>
      </c>
      <c r="I124" s="224">
        <f>($C$82+$C$82*(I121/100))*$D$75</f>
        <v>128519.99999999999</v>
      </c>
      <c r="K124" s="225" t="s">
        <v>633</v>
      </c>
      <c r="L124" s="226">
        <v>6</v>
      </c>
      <c r="M124" s="223"/>
      <c r="N124" s="223"/>
      <c r="O124" s="223"/>
      <c r="P124" s="223"/>
      <c r="Q124" s="223"/>
      <c r="R124" s="223"/>
    </row>
    <row r="125" spans="1:24" s="49" customFormat="1" ht="12.5">
      <c r="A125" s="184">
        <v>3</v>
      </c>
      <c r="B125" s="184">
        <v>2</v>
      </c>
      <c r="C125" s="184">
        <v>0.66</v>
      </c>
      <c r="E125" s="243">
        <v>10</v>
      </c>
      <c r="F125" s="54">
        <f t="shared" si="5"/>
        <v>0.8188688787703291</v>
      </c>
      <c r="G125" s="53">
        <f t="shared" si="6"/>
        <v>0.8188688787703291</v>
      </c>
      <c r="M125" s="223"/>
      <c r="N125" s="223"/>
      <c r="O125" s="223"/>
      <c r="P125" s="223"/>
      <c r="Q125" s="223"/>
      <c r="R125" s="223"/>
    </row>
    <row r="126" spans="1:24" s="49" customFormat="1" ht="13" thickBot="1">
      <c r="A126" s="184">
        <v>3</v>
      </c>
      <c r="B126" s="184">
        <v>3</v>
      </c>
      <c r="C126" s="184">
        <v>1</v>
      </c>
      <c r="E126" s="243">
        <v>10</v>
      </c>
      <c r="F126" s="54">
        <f t="shared" si="5"/>
        <v>0.94159526502323121</v>
      </c>
      <c r="G126" s="53">
        <f t="shared" si="6"/>
        <v>0.94159526502323121</v>
      </c>
      <c r="K126" s="223"/>
      <c r="L126" s="223"/>
      <c r="M126" s="223"/>
      <c r="N126" s="223"/>
      <c r="O126" s="223"/>
      <c r="P126" s="223"/>
      <c r="Q126"/>
      <c r="R126" s="223"/>
    </row>
    <row r="127" spans="1:24" s="49" customFormat="1" ht="12.5">
      <c r="A127" s="184">
        <v>4</v>
      </c>
      <c r="B127" s="184">
        <v>1</v>
      </c>
      <c r="C127" s="184">
        <v>2.4</v>
      </c>
      <c r="E127" s="243">
        <v>10</v>
      </c>
      <c r="F127" s="54">
        <f t="shared" si="5"/>
        <v>1</v>
      </c>
      <c r="G127" s="53">
        <f t="shared" si="6"/>
        <v>1</v>
      </c>
      <c r="I127" s="227" t="s">
        <v>827</v>
      </c>
      <c r="J127" s="228" t="s">
        <v>805</v>
      </c>
      <c r="K127" s="228"/>
      <c r="L127" s="229" t="s">
        <v>809</v>
      </c>
      <c r="M127" s="228"/>
      <c r="N127" s="228"/>
      <c r="O127" s="228"/>
      <c r="P127" s="624"/>
      <c r="Q127"/>
    </row>
    <row r="128" spans="1:24" s="49" customFormat="1" ht="12.5">
      <c r="A128" s="184">
        <v>4</v>
      </c>
      <c r="B128" s="184">
        <v>2</v>
      </c>
      <c r="C128" s="184">
        <v>1.8</v>
      </c>
      <c r="E128" s="243">
        <v>10</v>
      </c>
      <c r="F128" s="54">
        <f t="shared" si="5"/>
        <v>0.98983718780535979</v>
      </c>
      <c r="G128" s="53">
        <f t="shared" si="6"/>
        <v>0.98983718780535979</v>
      </c>
      <c r="I128" s="230">
        <v>1</v>
      </c>
      <c r="J128" s="219" t="s">
        <v>807</v>
      </c>
      <c r="K128" s="219" t="s">
        <v>808</v>
      </c>
      <c r="L128" s="219"/>
      <c r="M128" s="219"/>
      <c r="N128" s="219"/>
      <c r="O128" s="219"/>
      <c r="P128" s="625"/>
      <c r="Q128"/>
    </row>
    <row r="129" spans="1:26" s="49" customFormat="1" ht="12.5">
      <c r="A129" s="184">
        <v>4</v>
      </c>
      <c r="B129" s="184">
        <v>3</v>
      </c>
      <c r="C129" s="184">
        <v>1.7</v>
      </c>
      <c r="E129" s="243">
        <v>10</v>
      </c>
      <c r="F129" s="54">
        <f t="shared" si="5"/>
        <v>0.98791820999282576</v>
      </c>
      <c r="G129" s="53">
        <f t="shared" si="6"/>
        <v>0.98791820999282576</v>
      </c>
      <c r="I129" s="230">
        <v>2</v>
      </c>
      <c r="J129" s="219" t="s">
        <v>1030</v>
      </c>
      <c r="K129" s="219" t="s">
        <v>811</v>
      </c>
      <c r="L129" s="219"/>
      <c r="M129" s="219"/>
      <c r="N129" s="219"/>
      <c r="O129" s="219"/>
      <c r="P129" s="625"/>
      <c r="Q129"/>
    </row>
    <row r="130" spans="1:26" s="49" customFormat="1" ht="13" thickBot="1">
      <c r="A130" s="184">
        <v>5</v>
      </c>
      <c r="B130" s="184">
        <v>1</v>
      </c>
      <c r="C130" s="184">
        <v>2.1</v>
      </c>
      <c r="E130" s="243">
        <v>10</v>
      </c>
      <c r="F130" s="54">
        <f t="shared" si="5"/>
        <v>1</v>
      </c>
      <c r="G130" s="53">
        <f t="shared" si="6"/>
        <v>1</v>
      </c>
      <c r="I130" s="231">
        <v>3</v>
      </c>
      <c r="J130" s="232" t="s">
        <v>813</v>
      </c>
      <c r="K130" s="232" t="s">
        <v>814</v>
      </c>
      <c r="L130" s="232"/>
      <c r="M130" s="232"/>
      <c r="N130" s="232"/>
      <c r="O130" s="232"/>
      <c r="P130" s="626"/>
      <c r="Q130"/>
    </row>
    <row r="131" spans="1:26" s="49" customFormat="1" ht="12.5">
      <c r="A131" s="184">
        <v>5</v>
      </c>
      <c r="B131" s="184">
        <v>2</v>
      </c>
      <c r="C131" s="1313">
        <v>3.1</v>
      </c>
      <c r="E131" s="243">
        <v>10</v>
      </c>
      <c r="F131" s="54">
        <f t="shared" si="5"/>
        <v>1</v>
      </c>
      <c r="G131" s="53">
        <f t="shared" si="6"/>
        <v>1</v>
      </c>
      <c r="I131" s="219"/>
      <c r="J131" s="219"/>
      <c r="K131" s="219"/>
      <c r="L131" s="219"/>
      <c r="M131" s="219"/>
      <c r="N131" s="219"/>
      <c r="O131" s="219"/>
      <c r="P131" s="219"/>
      <c r="Q131"/>
    </row>
    <row r="132" spans="1:26" s="49" customFormat="1" ht="12.5">
      <c r="A132" s="184">
        <v>5</v>
      </c>
      <c r="B132" s="184">
        <v>3</v>
      </c>
      <c r="C132" s="184">
        <v>1.25</v>
      </c>
      <c r="E132" s="243">
        <v>10</v>
      </c>
      <c r="F132" s="54">
        <f t="shared" si="5"/>
        <v>0.96961640015564121</v>
      </c>
      <c r="G132" s="53">
        <f t="shared" si="6"/>
        <v>0.96961640015564121</v>
      </c>
      <c r="I132" s="50"/>
      <c r="J132" s="50"/>
      <c r="K132" s="219"/>
      <c r="L132" s="219"/>
      <c r="M132" s="219"/>
      <c r="N132" s="219"/>
      <c r="O132" s="219"/>
      <c r="P132" s="219"/>
      <c r="Q132" s="219"/>
      <c r="R132" s="223"/>
    </row>
    <row r="133" spans="1:26" s="49" customFormat="1" ht="12.5">
      <c r="A133" s="184">
        <v>6</v>
      </c>
      <c r="B133" s="184">
        <v>1</v>
      </c>
      <c r="C133" s="184">
        <v>2.2999999999999998</v>
      </c>
      <c r="E133" s="243">
        <v>10</v>
      </c>
      <c r="F133" s="54">
        <f t="shared" si="5"/>
        <v>1</v>
      </c>
      <c r="G133" s="53">
        <f t="shared" si="6"/>
        <v>1</v>
      </c>
      <c r="O133" s="223"/>
    </row>
    <row r="134" spans="1:26" s="49" customFormat="1">
      <c r="A134" s="184">
        <v>6</v>
      </c>
      <c r="B134" s="184">
        <v>2</v>
      </c>
      <c r="C134" s="184">
        <v>3.66</v>
      </c>
      <c r="E134" s="243">
        <v>10</v>
      </c>
      <c r="F134" s="54">
        <f t="shared" si="5"/>
        <v>1</v>
      </c>
      <c r="G134" s="53">
        <f t="shared" si="6"/>
        <v>1</v>
      </c>
    </row>
    <row r="135" spans="1:26" s="49" customFormat="1">
      <c r="A135" s="184">
        <v>6</v>
      </c>
      <c r="B135" s="184">
        <v>3</v>
      </c>
      <c r="C135" s="184">
        <v>1.5</v>
      </c>
      <c r="E135" s="243">
        <v>10</v>
      </c>
      <c r="F135" s="54">
        <f t="shared" si="5"/>
        <v>0.98237926964327416</v>
      </c>
      <c r="G135" s="53">
        <f t="shared" si="6"/>
        <v>0.98237926964327416</v>
      </c>
    </row>
    <row r="136" spans="1:26" s="49" customFormat="1">
      <c r="A136" s="184"/>
      <c r="B136" s="184"/>
      <c r="C136" s="184"/>
      <c r="E136" s="604"/>
      <c r="F136" s="54"/>
      <c r="G136"/>
    </row>
    <row r="137" spans="1:26" s="49" customFormat="1">
      <c r="E137" s="50"/>
      <c r="F137" s="54"/>
      <c r="G137"/>
    </row>
    <row r="138" spans="1:26" s="49" customFormat="1">
      <c r="A138" s="51" t="s">
        <v>576</v>
      </c>
      <c r="B138" s="51"/>
    </row>
    <row r="139" spans="1:26" s="49" customFormat="1">
      <c r="A139" s="184"/>
      <c r="B139" s="184"/>
      <c r="C139" s="255" t="s">
        <v>64</v>
      </c>
      <c r="D139" s="255"/>
      <c r="E139" s="255"/>
      <c r="F139" s="255"/>
      <c r="G139" s="255"/>
      <c r="H139" s="255"/>
      <c r="I139" s="255"/>
      <c r="J139" s="255"/>
      <c r="K139" s="255"/>
      <c r="L139" s="255"/>
      <c r="M139" s="56"/>
      <c r="N139" s="255" t="s">
        <v>569</v>
      </c>
      <c r="O139" s="255"/>
      <c r="P139" s="256"/>
      <c r="Q139" s="256"/>
      <c r="R139" s="255"/>
      <c r="S139" s="255"/>
      <c r="T139" s="255"/>
      <c r="V139" s="155" t="s">
        <v>568</v>
      </c>
    </row>
    <row r="140" spans="1:26" s="49" customFormat="1" ht="13">
      <c r="A140" s="257" t="s">
        <v>1099</v>
      </c>
      <c r="B140" s="258" t="s">
        <v>1100</v>
      </c>
      <c r="C140" s="258" t="s">
        <v>890</v>
      </c>
      <c r="D140" s="258" t="s">
        <v>1101</v>
      </c>
      <c r="E140" s="258" t="s">
        <v>1102</v>
      </c>
      <c r="F140" s="258" t="s">
        <v>1103</v>
      </c>
      <c r="G140" s="257" t="s">
        <v>573</v>
      </c>
      <c r="H140" s="258" t="s">
        <v>74</v>
      </c>
      <c r="I140" s="257" t="s">
        <v>73</v>
      </c>
      <c r="J140" s="259" t="s">
        <v>891</v>
      </c>
      <c r="K140" s="258" t="s">
        <v>892</v>
      </c>
      <c r="L140" s="258" t="s">
        <v>865</v>
      </c>
      <c r="M140" s="258"/>
      <c r="N140" s="258" t="s">
        <v>890</v>
      </c>
      <c r="O140" s="258" t="s">
        <v>891</v>
      </c>
      <c r="P140" s="260" t="s">
        <v>572</v>
      </c>
      <c r="Q140" s="255" t="s">
        <v>570</v>
      </c>
      <c r="R140" s="257" t="s">
        <v>571</v>
      </c>
      <c r="S140" s="259" t="s">
        <v>892</v>
      </c>
      <c r="T140" s="258" t="s">
        <v>865</v>
      </c>
      <c r="U140" s="153"/>
      <c r="V140" s="247" t="s">
        <v>870</v>
      </c>
      <c r="W140" s="160" t="s">
        <v>857</v>
      </c>
      <c r="X140" s="161" t="s">
        <v>900</v>
      </c>
      <c r="Y140" s="50"/>
      <c r="Z140" s="50"/>
    </row>
    <row r="141" spans="1:26" s="49" customFormat="1">
      <c r="A141" s="261">
        <v>1</v>
      </c>
      <c r="B141" s="261">
        <v>1</v>
      </c>
      <c r="C141" s="262">
        <v>9.2499999999999995E-6</v>
      </c>
      <c r="D141" s="262">
        <v>213.96744000000001</v>
      </c>
      <c r="E141" s="262">
        <v>39.579185000000003</v>
      </c>
      <c r="F141" s="262">
        <v>2.3020512000000002</v>
      </c>
      <c r="G141" s="262">
        <f t="shared" ref="G141:G160" si="7">D141-E141*$Z$142+F141*$Z$142*$Z$142</f>
        <v>590.04849120000006</v>
      </c>
      <c r="H141" s="262">
        <f>0.25/2</f>
        <v>0.125</v>
      </c>
      <c r="I141" s="262">
        <v>0.98</v>
      </c>
      <c r="J141" s="262">
        <f>G141+(G141*H141*I141)</f>
        <v>662.32943137200004</v>
      </c>
      <c r="K141" s="262">
        <v>1</v>
      </c>
      <c r="L141" s="262">
        <v>3.06</v>
      </c>
      <c r="M141" s="262"/>
      <c r="N141" s="261">
        <v>1</v>
      </c>
      <c r="O141" s="261">
        <v>4.5</v>
      </c>
      <c r="P141" s="261">
        <f>$C$82</f>
        <v>90000</v>
      </c>
      <c r="Q141" s="262">
        <v>0.25</v>
      </c>
      <c r="R141" s="262">
        <v>0.9</v>
      </c>
      <c r="S141" s="262">
        <f>(P141+P141*Q141)*R141</f>
        <v>101250</v>
      </c>
      <c r="T141" s="262">
        <v>-2</v>
      </c>
      <c r="V141" s="243">
        <v>100</v>
      </c>
      <c r="W141" s="54">
        <f t="shared" ref="W141:W160" si="8">IF((V141*$C$128)&lt;=$Z$142+6,(C141*J141+K141*POWER((V141*$C$128),L141))/(J141+POWER((V141*$C$128),L141)),IF((V141*$C$128)&gt;$B$82,N141-O141*EXP(-S141*POWER((V141*$C$128),T141)),1))</f>
        <v>0.80228379869466659</v>
      </c>
      <c r="X141" s="53">
        <f t="shared" ref="X141:X160" si="9">IF(W141&lt;0,0,W141)</f>
        <v>0.80228379869466659</v>
      </c>
      <c r="Y141" s="233" t="s">
        <v>59</v>
      </c>
      <c r="Z141" s="234" t="s">
        <v>763</v>
      </c>
    </row>
    <row r="142" spans="1:26" s="49" customFormat="1">
      <c r="A142" s="261">
        <v>1</v>
      </c>
      <c r="B142" s="261">
        <v>2</v>
      </c>
      <c r="C142" s="262">
        <v>9.2499999999999995E-6</v>
      </c>
      <c r="D142" s="262">
        <v>213.96744000000001</v>
      </c>
      <c r="E142" s="262">
        <v>39.579185000000003</v>
      </c>
      <c r="F142" s="262">
        <v>2.3020512000000002</v>
      </c>
      <c r="G142" s="262">
        <f t="shared" si="7"/>
        <v>590.04849120000006</v>
      </c>
      <c r="H142" s="262">
        <f>0.05/2</f>
        <v>2.5000000000000001E-2</v>
      </c>
      <c r="I142" s="262">
        <v>0.98</v>
      </c>
      <c r="J142" s="262">
        <f t="shared" ref="J142:J160" si="10">G142+(G142*H142*I142)</f>
        <v>604.5046792344001</v>
      </c>
      <c r="K142" s="262">
        <v>1</v>
      </c>
      <c r="L142" s="262">
        <v>3.06</v>
      </c>
      <c r="M142" s="262"/>
      <c r="N142" s="261">
        <v>1</v>
      </c>
      <c r="O142" s="261">
        <v>4.5</v>
      </c>
      <c r="P142" s="261">
        <f t="shared" ref="P142:P160" si="11">$C$82</f>
        <v>90000</v>
      </c>
      <c r="Q142" s="262">
        <v>0.05</v>
      </c>
      <c r="R142" s="262">
        <v>0.9</v>
      </c>
      <c r="S142" s="262">
        <f t="shared" ref="S142:S160" si="12">(P142+P142*Q142)*R142</f>
        <v>85050</v>
      </c>
      <c r="T142" s="262">
        <v>-2</v>
      </c>
      <c r="V142" s="243">
        <v>100</v>
      </c>
      <c r="W142" s="54">
        <f t="shared" si="8"/>
        <v>0.67402109334586846</v>
      </c>
      <c r="X142" s="53">
        <f t="shared" si="9"/>
        <v>0.67402109334586846</v>
      </c>
      <c r="Y142" s="158" t="s">
        <v>60</v>
      </c>
      <c r="Z142" s="235">
        <f>N48</f>
        <v>24</v>
      </c>
    </row>
    <row r="143" spans="1:26" s="49" customFormat="1">
      <c r="A143" s="261">
        <v>1</v>
      </c>
      <c r="B143" s="261">
        <v>3</v>
      </c>
      <c r="C143" s="262">
        <v>9.2499999999999995E-6</v>
      </c>
      <c r="D143" s="262">
        <v>213.96744000000001</v>
      </c>
      <c r="E143" s="262">
        <v>39.579185000000003</v>
      </c>
      <c r="F143" s="262">
        <v>2.3020512000000002</v>
      </c>
      <c r="G143" s="262">
        <f t="shared" si="7"/>
        <v>590.04849120000006</v>
      </c>
      <c r="H143" s="262">
        <f>0.035/2</f>
        <v>1.7500000000000002E-2</v>
      </c>
      <c r="I143" s="262">
        <v>0.98</v>
      </c>
      <c r="J143" s="262">
        <f t="shared" si="10"/>
        <v>600.16782282408008</v>
      </c>
      <c r="K143" s="262">
        <v>1</v>
      </c>
      <c r="L143" s="262">
        <v>3.06</v>
      </c>
      <c r="M143" s="262"/>
      <c r="N143" s="261">
        <v>1</v>
      </c>
      <c r="O143" s="261">
        <v>4.5</v>
      </c>
      <c r="P143" s="261">
        <f t="shared" si="11"/>
        <v>90000</v>
      </c>
      <c r="Q143" s="262">
        <v>3.5000000000000003E-2</v>
      </c>
      <c r="R143" s="262">
        <v>0.9</v>
      </c>
      <c r="S143" s="262">
        <f t="shared" si="12"/>
        <v>83835</v>
      </c>
      <c r="T143" s="262">
        <v>-2</v>
      </c>
      <c r="V143" s="243">
        <v>100</v>
      </c>
      <c r="W143" s="54">
        <f t="shared" si="8"/>
        <v>0.66156478831606425</v>
      </c>
      <c r="X143" s="53">
        <f t="shared" si="9"/>
        <v>0.66156478831606425</v>
      </c>
      <c r="Y143" s="158" t="s">
        <v>61</v>
      </c>
      <c r="Z143" s="235">
        <v>2</v>
      </c>
    </row>
    <row r="144" spans="1:26" s="49" customFormat="1">
      <c r="A144" s="261">
        <v>1</v>
      </c>
      <c r="B144" s="261">
        <v>4</v>
      </c>
      <c r="C144" s="262">
        <v>9.2499999999999995E-6</v>
      </c>
      <c r="D144" s="262">
        <v>213.96744000000001</v>
      </c>
      <c r="E144" s="262">
        <v>39.579185000000003</v>
      </c>
      <c r="F144" s="262">
        <v>2.3020512000000002</v>
      </c>
      <c r="G144" s="262">
        <f t="shared" si="7"/>
        <v>590.04849120000006</v>
      </c>
      <c r="H144" s="262">
        <f>0.02/2</f>
        <v>0.01</v>
      </c>
      <c r="I144" s="262">
        <v>0.98</v>
      </c>
      <c r="J144" s="262">
        <f t="shared" si="10"/>
        <v>595.83096641376005</v>
      </c>
      <c r="K144" s="262">
        <v>1</v>
      </c>
      <c r="L144" s="262">
        <v>3.06</v>
      </c>
      <c r="M144" s="262"/>
      <c r="N144" s="261">
        <v>1</v>
      </c>
      <c r="O144" s="261">
        <v>4.5</v>
      </c>
      <c r="P144" s="261">
        <f t="shared" si="11"/>
        <v>90000</v>
      </c>
      <c r="Q144" s="262">
        <v>0.02</v>
      </c>
      <c r="R144" s="262">
        <v>0.9</v>
      </c>
      <c r="S144" s="262">
        <f t="shared" si="12"/>
        <v>82620</v>
      </c>
      <c r="T144" s="262">
        <v>-2</v>
      </c>
      <c r="V144" s="243">
        <v>100</v>
      </c>
      <c r="W144" s="54">
        <f t="shared" si="8"/>
        <v>0.6486325029948109</v>
      </c>
      <c r="X144" s="53">
        <f t="shared" si="9"/>
        <v>0.6486325029948109</v>
      </c>
      <c r="Y144" s="158" t="s">
        <v>835</v>
      </c>
      <c r="Z144" s="235">
        <v>4</v>
      </c>
    </row>
    <row r="145" spans="1:26" s="49" customFormat="1">
      <c r="A145" s="261">
        <v>2</v>
      </c>
      <c r="B145" s="261">
        <v>1</v>
      </c>
      <c r="C145" s="262">
        <v>9.2499999999999995E-6</v>
      </c>
      <c r="D145" s="262">
        <v>213.96744000000001</v>
      </c>
      <c r="E145" s="262">
        <v>39.579185000000003</v>
      </c>
      <c r="F145" s="262">
        <v>2.3020512000000002</v>
      </c>
      <c r="G145" s="262">
        <f t="shared" si="7"/>
        <v>590.04849120000006</v>
      </c>
      <c r="H145" s="262">
        <f>0.25/2</f>
        <v>0.125</v>
      </c>
      <c r="I145" s="262">
        <v>0.99</v>
      </c>
      <c r="J145" s="262">
        <f t="shared" si="10"/>
        <v>663.06699198600006</v>
      </c>
      <c r="K145" s="262">
        <v>1</v>
      </c>
      <c r="L145" s="262">
        <v>3.06</v>
      </c>
      <c r="M145" s="262"/>
      <c r="N145" s="261">
        <v>1</v>
      </c>
      <c r="O145" s="261">
        <v>4.5</v>
      </c>
      <c r="P145" s="261">
        <f t="shared" si="11"/>
        <v>90000</v>
      </c>
      <c r="Q145" s="262">
        <v>0.25</v>
      </c>
      <c r="R145" s="262">
        <v>1</v>
      </c>
      <c r="S145" s="262">
        <f t="shared" si="12"/>
        <v>112500</v>
      </c>
      <c r="T145" s="262">
        <v>-2</v>
      </c>
      <c r="V145" s="243">
        <v>100</v>
      </c>
      <c r="W145" s="54">
        <f t="shared" si="8"/>
        <v>0.86028418684301666</v>
      </c>
      <c r="X145" s="53">
        <f t="shared" si="9"/>
        <v>0.86028418684301666</v>
      </c>
      <c r="Y145" s="236" t="s">
        <v>72</v>
      </c>
      <c r="Z145" s="237">
        <v>2</v>
      </c>
    </row>
    <row r="146" spans="1:26" s="49" customFormat="1">
      <c r="A146" s="261">
        <v>2</v>
      </c>
      <c r="B146" s="261">
        <v>2</v>
      </c>
      <c r="C146" s="262">
        <v>9.2499999999999995E-6</v>
      </c>
      <c r="D146" s="262">
        <v>213.96744000000001</v>
      </c>
      <c r="E146" s="262">
        <v>39.579185000000003</v>
      </c>
      <c r="F146" s="262">
        <v>2.3020512000000002</v>
      </c>
      <c r="G146" s="262">
        <f t="shared" si="7"/>
        <v>590.04849120000006</v>
      </c>
      <c r="H146" s="262">
        <f>0.05/2</f>
        <v>2.5000000000000001E-2</v>
      </c>
      <c r="I146" s="262">
        <v>0.99</v>
      </c>
      <c r="J146" s="262">
        <f t="shared" si="10"/>
        <v>604.65219135720008</v>
      </c>
      <c r="K146" s="262">
        <v>1</v>
      </c>
      <c r="L146" s="262">
        <v>3.06</v>
      </c>
      <c r="M146" s="262"/>
      <c r="N146" s="261">
        <v>1</v>
      </c>
      <c r="O146" s="261">
        <v>4.5</v>
      </c>
      <c r="P146" s="261">
        <f t="shared" si="11"/>
        <v>90000</v>
      </c>
      <c r="Q146" s="262">
        <v>0.05</v>
      </c>
      <c r="R146" s="262">
        <v>1</v>
      </c>
      <c r="S146" s="262">
        <f t="shared" si="12"/>
        <v>94500</v>
      </c>
      <c r="T146" s="262">
        <v>-2</v>
      </c>
      <c r="V146" s="243">
        <v>100</v>
      </c>
      <c r="W146" s="54">
        <f t="shared" si="8"/>
        <v>0.75648805199730274</v>
      </c>
      <c r="X146" s="53">
        <f t="shared" si="9"/>
        <v>0.75648805199730274</v>
      </c>
    </row>
    <row r="147" spans="1:26" s="49" customFormat="1">
      <c r="A147" s="261">
        <v>2</v>
      </c>
      <c r="B147" s="261">
        <v>3</v>
      </c>
      <c r="C147" s="262">
        <v>9.2499999999999995E-6</v>
      </c>
      <c r="D147" s="262">
        <v>213.96744000000001</v>
      </c>
      <c r="E147" s="262">
        <v>39.579185000000003</v>
      </c>
      <c r="F147" s="262">
        <v>2.3020512000000002</v>
      </c>
      <c r="G147" s="262">
        <f t="shared" si="7"/>
        <v>590.04849120000006</v>
      </c>
      <c r="H147" s="262">
        <f>0.035/2</f>
        <v>1.7500000000000002E-2</v>
      </c>
      <c r="I147" s="262">
        <v>0.99</v>
      </c>
      <c r="J147" s="262">
        <f t="shared" si="10"/>
        <v>600.27108131004002</v>
      </c>
      <c r="K147" s="262">
        <v>1</v>
      </c>
      <c r="L147" s="262">
        <v>3.06</v>
      </c>
      <c r="M147" s="262"/>
      <c r="N147" s="261">
        <v>1</v>
      </c>
      <c r="O147" s="261">
        <v>4.5</v>
      </c>
      <c r="P147" s="261">
        <f t="shared" si="11"/>
        <v>90000</v>
      </c>
      <c r="Q147" s="262">
        <v>3.5000000000000003E-2</v>
      </c>
      <c r="R147" s="262">
        <v>1</v>
      </c>
      <c r="S147" s="262">
        <f t="shared" si="12"/>
        <v>93150</v>
      </c>
      <c r="T147" s="262">
        <v>-2</v>
      </c>
      <c r="V147" s="243">
        <v>100</v>
      </c>
      <c r="W147" s="54">
        <f t="shared" si="8"/>
        <v>0.74612737223300196</v>
      </c>
      <c r="X147" s="53">
        <f t="shared" si="9"/>
        <v>0.74612737223300196</v>
      </c>
      <c r="Y147" s="238" t="s">
        <v>1026</v>
      </c>
    </row>
    <row r="148" spans="1:26" s="49" customFormat="1">
      <c r="A148" s="261">
        <v>2</v>
      </c>
      <c r="B148" s="261">
        <v>4</v>
      </c>
      <c r="C148" s="262">
        <v>9.2499999999999995E-6</v>
      </c>
      <c r="D148" s="262">
        <v>213.96744000000001</v>
      </c>
      <c r="E148" s="262">
        <v>39.579185000000003</v>
      </c>
      <c r="F148" s="262">
        <v>2.3020512000000002</v>
      </c>
      <c r="G148" s="262">
        <f t="shared" si="7"/>
        <v>590.04849120000006</v>
      </c>
      <c r="H148" s="262">
        <f>0.02/2</f>
        <v>0.01</v>
      </c>
      <c r="I148" s="262">
        <v>0.99</v>
      </c>
      <c r="J148" s="262">
        <f t="shared" si="10"/>
        <v>595.88997126288007</v>
      </c>
      <c r="K148" s="262">
        <v>1</v>
      </c>
      <c r="L148" s="262">
        <v>3.06</v>
      </c>
      <c r="M148" s="262"/>
      <c r="N148" s="261">
        <v>1</v>
      </c>
      <c r="O148" s="261">
        <v>4.5</v>
      </c>
      <c r="P148" s="261">
        <f t="shared" si="11"/>
        <v>90000</v>
      </c>
      <c r="Q148" s="262">
        <v>0.02</v>
      </c>
      <c r="R148" s="262">
        <v>1</v>
      </c>
      <c r="S148" s="262">
        <f t="shared" si="12"/>
        <v>91800</v>
      </c>
      <c r="T148" s="262">
        <v>-2</v>
      </c>
      <c r="V148" s="243">
        <v>100</v>
      </c>
      <c r="W148" s="54">
        <f t="shared" si="8"/>
        <v>0.73532587760906554</v>
      </c>
      <c r="X148" s="53">
        <f t="shared" si="9"/>
        <v>0.73532587760906554</v>
      </c>
      <c r="Y148" s="238" t="s">
        <v>1026</v>
      </c>
    </row>
    <row r="149" spans="1:26" s="49" customFormat="1">
      <c r="A149" s="261">
        <v>3</v>
      </c>
      <c r="B149" s="261">
        <v>1</v>
      </c>
      <c r="C149" s="262">
        <v>9.2499999999999995E-6</v>
      </c>
      <c r="D149" s="262">
        <v>213.96744000000001</v>
      </c>
      <c r="E149" s="262">
        <v>39.579185000000003</v>
      </c>
      <c r="F149" s="262">
        <v>2.3020512000000002</v>
      </c>
      <c r="G149" s="262">
        <f t="shared" si="7"/>
        <v>590.04849120000006</v>
      </c>
      <c r="H149" s="262">
        <f>0.25/2</f>
        <v>0.125</v>
      </c>
      <c r="I149" s="262">
        <v>1</v>
      </c>
      <c r="J149" s="262">
        <f t="shared" si="10"/>
        <v>663.80455260000008</v>
      </c>
      <c r="K149" s="262">
        <v>1</v>
      </c>
      <c r="L149" s="262">
        <v>3.06</v>
      </c>
      <c r="M149" s="262"/>
      <c r="N149" s="261">
        <v>1</v>
      </c>
      <c r="O149" s="261">
        <v>4.5</v>
      </c>
      <c r="P149" s="261">
        <f t="shared" si="11"/>
        <v>90000</v>
      </c>
      <c r="Q149" s="262">
        <v>0.25</v>
      </c>
      <c r="R149" s="262">
        <v>1.1000000000000001</v>
      </c>
      <c r="S149" s="262">
        <f t="shared" si="12"/>
        <v>123750.00000000001</v>
      </c>
      <c r="T149" s="262">
        <v>-2</v>
      </c>
      <c r="V149" s="243">
        <v>100</v>
      </c>
      <c r="W149" s="54">
        <f t="shared" si="8"/>
        <v>0.90127006124312725</v>
      </c>
      <c r="X149" s="53">
        <f t="shared" si="9"/>
        <v>0.90127006124312725</v>
      </c>
    </row>
    <row r="150" spans="1:26" s="49" customFormat="1">
      <c r="A150" s="261">
        <v>3</v>
      </c>
      <c r="B150" s="261">
        <v>2</v>
      </c>
      <c r="C150" s="262">
        <v>9.2499999999999995E-6</v>
      </c>
      <c r="D150" s="262">
        <v>213.96744000000001</v>
      </c>
      <c r="E150" s="262">
        <v>39.579185000000003</v>
      </c>
      <c r="F150" s="262">
        <v>2.3020512000000002</v>
      </c>
      <c r="G150" s="262">
        <f t="shared" si="7"/>
        <v>590.04849120000006</v>
      </c>
      <c r="H150" s="262">
        <f>0.05/2</f>
        <v>2.5000000000000001E-2</v>
      </c>
      <c r="I150" s="262">
        <v>1</v>
      </c>
      <c r="J150" s="262">
        <f t="shared" si="10"/>
        <v>604.79970348000006</v>
      </c>
      <c r="K150" s="262">
        <v>1</v>
      </c>
      <c r="L150" s="262">
        <v>3.06</v>
      </c>
      <c r="M150" s="262"/>
      <c r="N150" s="261">
        <v>1</v>
      </c>
      <c r="O150" s="261">
        <v>4.5</v>
      </c>
      <c r="P150" s="261">
        <f t="shared" si="11"/>
        <v>90000</v>
      </c>
      <c r="Q150" s="262">
        <v>0.05</v>
      </c>
      <c r="R150" s="262">
        <v>1.1000000000000001</v>
      </c>
      <c r="S150" s="262">
        <f t="shared" si="12"/>
        <v>103950.00000000001</v>
      </c>
      <c r="T150" s="262">
        <v>-2</v>
      </c>
      <c r="V150" s="243">
        <v>100</v>
      </c>
      <c r="W150" s="54">
        <f t="shared" si="8"/>
        <v>0.81809231330730126</v>
      </c>
      <c r="X150" s="53">
        <f t="shared" si="9"/>
        <v>0.81809231330730126</v>
      </c>
    </row>
    <row r="151" spans="1:26" s="49" customFormat="1">
      <c r="A151" s="261">
        <v>3</v>
      </c>
      <c r="B151" s="261">
        <v>3</v>
      </c>
      <c r="C151" s="262">
        <v>9.2499999999999995E-6</v>
      </c>
      <c r="D151" s="262">
        <v>213.96744000000001</v>
      </c>
      <c r="E151" s="262">
        <v>39.579185000000003</v>
      </c>
      <c r="F151" s="262">
        <v>2.3020512000000002</v>
      </c>
      <c r="G151" s="262">
        <f t="shared" si="7"/>
        <v>590.04849120000006</v>
      </c>
      <c r="H151" s="262">
        <f>0.035/2</f>
        <v>1.7500000000000002E-2</v>
      </c>
      <c r="I151" s="262">
        <v>1</v>
      </c>
      <c r="J151" s="262">
        <f t="shared" si="10"/>
        <v>600.37433979600007</v>
      </c>
      <c r="K151" s="262">
        <v>1</v>
      </c>
      <c r="L151" s="262">
        <v>3.06</v>
      </c>
      <c r="M151" s="262"/>
      <c r="N151" s="261">
        <v>1</v>
      </c>
      <c r="O151" s="261">
        <v>4.5</v>
      </c>
      <c r="P151" s="261">
        <f t="shared" si="11"/>
        <v>90000</v>
      </c>
      <c r="Q151" s="262">
        <v>3.5000000000000003E-2</v>
      </c>
      <c r="R151" s="262">
        <v>1.1000000000000001</v>
      </c>
      <c r="S151" s="262">
        <f t="shared" si="12"/>
        <v>102465.00000000001</v>
      </c>
      <c r="T151" s="262">
        <v>-2</v>
      </c>
      <c r="V151" s="243">
        <v>100</v>
      </c>
      <c r="W151" s="54">
        <f t="shared" si="8"/>
        <v>0.8095608586097367</v>
      </c>
      <c r="X151" s="53">
        <f t="shared" si="9"/>
        <v>0.8095608586097367</v>
      </c>
    </row>
    <row r="152" spans="1:26" s="49" customFormat="1">
      <c r="A152" s="261">
        <v>3</v>
      </c>
      <c r="B152" s="261">
        <v>4</v>
      </c>
      <c r="C152" s="262">
        <v>9.2499999999999995E-6</v>
      </c>
      <c r="D152" s="262">
        <v>213.96744000000001</v>
      </c>
      <c r="E152" s="262">
        <v>39.579185000000003</v>
      </c>
      <c r="F152" s="262">
        <v>2.3020512000000002</v>
      </c>
      <c r="G152" s="262">
        <f t="shared" si="7"/>
        <v>590.04849120000006</v>
      </c>
      <c r="H152" s="262">
        <f>0.02/2</f>
        <v>0.01</v>
      </c>
      <c r="I152" s="262">
        <v>1</v>
      </c>
      <c r="J152" s="262">
        <f t="shared" si="10"/>
        <v>595.94897611200008</v>
      </c>
      <c r="K152" s="262">
        <v>1</v>
      </c>
      <c r="L152" s="262">
        <v>3.06</v>
      </c>
      <c r="M152" s="262"/>
      <c r="N152" s="261">
        <v>1</v>
      </c>
      <c r="O152" s="261">
        <v>4.5</v>
      </c>
      <c r="P152" s="261">
        <f t="shared" si="11"/>
        <v>90000</v>
      </c>
      <c r="Q152" s="262">
        <v>0.02</v>
      </c>
      <c r="R152" s="262">
        <v>1.1000000000000001</v>
      </c>
      <c r="S152" s="262">
        <f t="shared" si="12"/>
        <v>100980.00000000001</v>
      </c>
      <c r="T152" s="262">
        <v>-2</v>
      </c>
      <c r="V152" s="243">
        <v>100</v>
      </c>
      <c r="W152" s="54">
        <f t="shared" si="8"/>
        <v>0.80062927942826545</v>
      </c>
      <c r="X152" s="53">
        <f t="shared" si="9"/>
        <v>0.80062927942826545</v>
      </c>
    </row>
    <row r="153" spans="1:26" s="49" customFormat="1">
      <c r="A153" s="261">
        <v>4</v>
      </c>
      <c r="B153" s="261">
        <v>1</v>
      </c>
      <c r="C153" s="262">
        <v>9.2499999999999995E-6</v>
      </c>
      <c r="D153" s="262">
        <v>213.96744000000001</v>
      </c>
      <c r="E153" s="262">
        <v>39.579185000000003</v>
      </c>
      <c r="F153" s="262">
        <v>2.3020512000000002</v>
      </c>
      <c r="G153" s="262">
        <f t="shared" si="7"/>
        <v>590.04849120000006</v>
      </c>
      <c r="H153" s="262">
        <f>0.25/2</f>
        <v>0.125</v>
      </c>
      <c r="I153" s="262">
        <v>1.01</v>
      </c>
      <c r="J153" s="262">
        <f t="shared" si="10"/>
        <v>664.5421132140001</v>
      </c>
      <c r="K153" s="262">
        <v>1</v>
      </c>
      <c r="L153" s="262">
        <v>3.06</v>
      </c>
      <c r="M153" s="262"/>
      <c r="N153" s="261">
        <v>1</v>
      </c>
      <c r="O153" s="261">
        <v>4.5</v>
      </c>
      <c r="P153" s="261">
        <f t="shared" si="11"/>
        <v>90000</v>
      </c>
      <c r="Q153" s="262">
        <v>0.25</v>
      </c>
      <c r="R153" s="262">
        <v>1.4</v>
      </c>
      <c r="S153" s="262">
        <f t="shared" si="12"/>
        <v>157500</v>
      </c>
      <c r="T153" s="262">
        <v>-2</v>
      </c>
      <c r="V153" s="243">
        <v>100</v>
      </c>
      <c r="W153" s="54">
        <f t="shared" si="8"/>
        <v>0.96516155338819021</v>
      </c>
      <c r="X153" s="53">
        <f t="shared" si="9"/>
        <v>0.96516155338819021</v>
      </c>
    </row>
    <row r="154" spans="1:26" s="49" customFormat="1">
      <c r="A154" s="261">
        <v>4</v>
      </c>
      <c r="B154" s="261">
        <v>2</v>
      </c>
      <c r="C154" s="262">
        <v>9.2499999999999995E-6</v>
      </c>
      <c r="D154" s="262">
        <v>213.96744000000001</v>
      </c>
      <c r="E154" s="262">
        <v>39.579185000000003</v>
      </c>
      <c r="F154" s="262">
        <v>2.3020512000000002</v>
      </c>
      <c r="G154" s="262">
        <f t="shared" si="7"/>
        <v>590.04849120000006</v>
      </c>
      <c r="H154" s="262">
        <f>0.05/2</f>
        <v>2.5000000000000001E-2</v>
      </c>
      <c r="I154" s="262">
        <v>1.01</v>
      </c>
      <c r="J154" s="262">
        <f t="shared" si="10"/>
        <v>604.94721560280004</v>
      </c>
      <c r="K154" s="262">
        <v>1</v>
      </c>
      <c r="L154" s="262">
        <v>3.06</v>
      </c>
      <c r="M154" s="262"/>
      <c r="N154" s="261">
        <v>1</v>
      </c>
      <c r="O154" s="261">
        <v>4.5</v>
      </c>
      <c r="P154" s="261">
        <f t="shared" si="11"/>
        <v>90000</v>
      </c>
      <c r="Q154" s="262">
        <v>0.05</v>
      </c>
      <c r="R154" s="262">
        <v>1.4</v>
      </c>
      <c r="S154" s="262">
        <f t="shared" si="12"/>
        <v>132300</v>
      </c>
      <c r="T154" s="262">
        <v>-2</v>
      </c>
      <c r="V154" s="243">
        <v>100</v>
      </c>
      <c r="W154" s="54">
        <f t="shared" si="8"/>
        <v>0.92416959433023615</v>
      </c>
      <c r="X154" s="53">
        <f t="shared" si="9"/>
        <v>0.92416959433023615</v>
      </c>
    </row>
    <row r="155" spans="1:26" s="49" customFormat="1">
      <c r="A155" s="261">
        <v>4</v>
      </c>
      <c r="B155" s="261">
        <v>3</v>
      </c>
      <c r="C155" s="262">
        <v>9.2499999999999995E-6</v>
      </c>
      <c r="D155" s="262">
        <v>213.96744000000001</v>
      </c>
      <c r="E155" s="262">
        <v>39.579185000000003</v>
      </c>
      <c r="F155" s="262">
        <v>2.3020512000000002</v>
      </c>
      <c r="G155" s="262">
        <f t="shared" si="7"/>
        <v>590.04849120000006</v>
      </c>
      <c r="H155" s="262">
        <f>0.035/2</f>
        <v>1.7500000000000002E-2</v>
      </c>
      <c r="I155" s="262">
        <v>1.01</v>
      </c>
      <c r="J155" s="262">
        <f t="shared" si="10"/>
        <v>600.47759828196001</v>
      </c>
      <c r="K155" s="262">
        <v>1</v>
      </c>
      <c r="L155" s="262">
        <v>3.06</v>
      </c>
      <c r="M155" s="262"/>
      <c r="N155" s="261">
        <v>1</v>
      </c>
      <c r="O155" s="261">
        <v>4.5</v>
      </c>
      <c r="P155" s="261">
        <f t="shared" si="11"/>
        <v>90000</v>
      </c>
      <c r="Q155" s="262">
        <v>3.5000000000000003E-2</v>
      </c>
      <c r="R155" s="262">
        <v>1.4</v>
      </c>
      <c r="S155" s="262">
        <f t="shared" si="12"/>
        <v>130409.99999999999</v>
      </c>
      <c r="T155" s="262">
        <v>-2</v>
      </c>
      <c r="V155" s="243">
        <v>100</v>
      </c>
      <c r="W155" s="54">
        <f t="shared" si="8"/>
        <v>0.91961459131008683</v>
      </c>
      <c r="X155" s="53">
        <f t="shared" si="9"/>
        <v>0.91961459131008683</v>
      </c>
    </row>
    <row r="156" spans="1:26" s="49" customFormat="1">
      <c r="A156" s="261">
        <v>4</v>
      </c>
      <c r="B156" s="261">
        <v>4</v>
      </c>
      <c r="C156" s="262">
        <v>9.2499999999999995E-6</v>
      </c>
      <c r="D156" s="262">
        <v>213.96744000000001</v>
      </c>
      <c r="E156" s="262">
        <v>39.579185000000003</v>
      </c>
      <c r="F156" s="262">
        <v>2.3020512000000002</v>
      </c>
      <c r="G156" s="262">
        <f t="shared" si="7"/>
        <v>590.04849120000006</v>
      </c>
      <c r="H156" s="262">
        <f>0.02/2</f>
        <v>0.01</v>
      </c>
      <c r="I156" s="262">
        <v>1.01</v>
      </c>
      <c r="J156" s="262">
        <f t="shared" si="10"/>
        <v>596.0079809611201</v>
      </c>
      <c r="K156" s="262">
        <v>1</v>
      </c>
      <c r="L156" s="262">
        <v>3.06</v>
      </c>
      <c r="M156" s="262"/>
      <c r="N156" s="261">
        <v>1</v>
      </c>
      <c r="O156" s="261">
        <v>4.5</v>
      </c>
      <c r="P156" s="261">
        <f t="shared" si="11"/>
        <v>90000</v>
      </c>
      <c r="Q156" s="262">
        <v>0.02</v>
      </c>
      <c r="R156" s="262">
        <v>1.4</v>
      </c>
      <c r="S156" s="262">
        <f t="shared" si="12"/>
        <v>128519.99999999999</v>
      </c>
      <c r="T156" s="262">
        <v>-2</v>
      </c>
      <c r="V156" s="243">
        <v>100</v>
      </c>
      <c r="W156" s="54">
        <f t="shared" si="8"/>
        <v>0.91478597703426345</v>
      </c>
      <c r="X156" s="53">
        <f t="shared" si="9"/>
        <v>0.91478597703426345</v>
      </c>
    </row>
    <row r="157" spans="1:26" s="49" customFormat="1">
      <c r="A157" s="261">
        <v>5</v>
      </c>
      <c r="B157" s="261">
        <v>1</v>
      </c>
      <c r="C157" s="262">
        <v>9.2499999999999995E-6</v>
      </c>
      <c r="D157" s="262">
        <v>213.96744000000001</v>
      </c>
      <c r="E157" s="262">
        <v>39.579185000000003</v>
      </c>
      <c r="F157" s="262">
        <v>2.3020512000000002</v>
      </c>
      <c r="G157" s="262">
        <f t="shared" si="7"/>
        <v>590.04849120000006</v>
      </c>
      <c r="H157" s="262">
        <f>0.25/2</f>
        <v>0.125</v>
      </c>
      <c r="I157" s="262">
        <v>1.03</v>
      </c>
      <c r="J157" s="262">
        <f t="shared" si="10"/>
        <v>666.01723444200002</v>
      </c>
      <c r="K157" s="262">
        <v>1</v>
      </c>
      <c r="L157" s="262">
        <v>3.06</v>
      </c>
      <c r="M157" s="262"/>
      <c r="N157" s="261">
        <v>1</v>
      </c>
      <c r="O157" s="261">
        <v>4.5</v>
      </c>
      <c r="P157" s="261">
        <f t="shared" si="11"/>
        <v>90000</v>
      </c>
      <c r="Q157" s="262">
        <v>0.25</v>
      </c>
      <c r="R157" s="262">
        <v>1.6</v>
      </c>
      <c r="S157" s="262">
        <f t="shared" si="12"/>
        <v>180000</v>
      </c>
      <c r="T157" s="262">
        <v>-2</v>
      </c>
      <c r="V157" s="243">
        <v>100</v>
      </c>
      <c r="W157" s="54">
        <f t="shared" si="8"/>
        <v>0.98260335937237242</v>
      </c>
      <c r="X157" s="53">
        <f t="shared" si="9"/>
        <v>0.98260335937237242</v>
      </c>
    </row>
    <row r="158" spans="1:26" s="49" customFormat="1">
      <c r="A158" s="261">
        <v>5</v>
      </c>
      <c r="B158" s="261">
        <v>2</v>
      </c>
      <c r="C158" s="262">
        <v>9.2499999999999995E-6</v>
      </c>
      <c r="D158" s="262">
        <v>213.96744000000001</v>
      </c>
      <c r="E158" s="262">
        <v>39.579185000000003</v>
      </c>
      <c r="F158" s="262">
        <v>2.3020512000000002</v>
      </c>
      <c r="G158" s="262">
        <f t="shared" si="7"/>
        <v>590.04849120000006</v>
      </c>
      <c r="H158" s="262">
        <f>0.05/2</f>
        <v>2.5000000000000001E-2</v>
      </c>
      <c r="I158" s="262">
        <v>1.03</v>
      </c>
      <c r="J158" s="262">
        <f t="shared" si="10"/>
        <v>605.2422398484</v>
      </c>
      <c r="K158" s="262">
        <v>1</v>
      </c>
      <c r="L158" s="262">
        <v>3.06</v>
      </c>
      <c r="M158" s="262"/>
      <c r="N158" s="261">
        <v>1</v>
      </c>
      <c r="O158" s="261">
        <v>4.5</v>
      </c>
      <c r="P158" s="261">
        <f t="shared" si="11"/>
        <v>90000</v>
      </c>
      <c r="Q158" s="262">
        <v>0.05</v>
      </c>
      <c r="R158" s="262">
        <v>1.6</v>
      </c>
      <c r="S158" s="262">
        <f t="shared" si="12"/>
        <v>151200</v>
      </c>
      <c r="T158" s="262">
        <v>-2</v>
      </c>
      <c r="V158" s="243">
        <v>100</v>
      </c>
      <c r="W158" s="54">
        <f t="shared" si="8"/>
        <v>0.95768396851827153</v>
      </c>
      <c r="X158" s="53">
        <f t="shared" si="9"/>
        <v>0.95768396851827153</v>
      </c>
    </row>
    <row r="159" spans="1:26" s="49" customFormat="1">
      <c r="A159" s="261">
        <v>5</v>
      </c>
      <c r="B159" s="261">
        <v>3</v>
      </c>
      <c r="C159" s="262">
        <v>9.2499999999999995E-6</v>
      </c>
      <c r="D159" s="262">
        <v>213.96744000000001</v>
      </c>
      <c r="E159" s="262">
        <v>39.579185000000003</v>
      </c>
      <c r="F159" s="262">
        <v>2.3020512000000002</v>
      </c>
      <c r="G159" s="262">
        <f t="shared" si="7"/>
        <v>590.04849120000006</v>
      </c>
      <c r="H159" s="262">
        <f>0.035/2</f>
        <v>1.7500000000000002E-2</v>
      </c>
      <c r="I159" s="262">
        <v>1.03</v>
      </c>
      <c r="J159" s="262">
        <f t="shared" si="10"/>
        <v>600.68411525388001</v>
      </c>
      <c r="K159" s="262">
        <v>1</v>
      </c>
      <c r="L159" s="262">
        <v>3.06</v>
      </c>
      <c r="M159" s="262"/>
      <c r="N159" s="261">
        <v>1</v>
      </c>
      <c r="O159" s="261">
        <v>4.5</v>
      </c>
      <c r="P159" s="261">
        <f t="shared" si="11"/>
        <v>90000</v>
      </c>
      <c r="Q159" s="262">
        <v>3.5000000000000003E-2</v>
      </c>
      <c r="R159" s="262">
        <v>1.6</v>
      </c>
      <c r="S159" s="262">
        <f t="shared" si="12"/>
        <v>149040</v>
      </c>
      <c r="T159" s="262">
        <v>-2</v>
      </c>
      <c r="V159" s="243">
        <v>100</v>
      </c>
      <c r="W159" s="54">
        <f t="shared" si="8"/>
        <v>0.95476673914914889</v>
      </c>
      <c r="X159" s="53">
        <f t="shared" si="9"/>
        <v>0.95476673914914889</v>
      </c>
    </row>
    <row r="160" spans="1:26" s="49" customFormat="1">
      <c r="A160" s="261">
        <v>5</v>
      </c>
      <c r="B160" s="261">
        <v>4</v>
      </c>
      <c r="C160" s="262">
        <v>9.2499999999999995E-6</v>
      </c>
      <c r="D160" s="262">
        <v>213.96744000000001</v>
      </c>
      <c r="E160" s="262">
        <v>39.579185000000003</v>
      </c>
      <c r="F160" s="262">
        <v>2.3020512000000002</v>
      </c>
      <c r="G160" s="262">
        <f t="shared" si="7"/>
        <v>590.04849120000006</v>
      </c>
      <c r="H160" s="262">
        <f>0.02/2</f>
        <v>0.01</v>
      </c>
      <c r="I160" s="262">
        <v>1.03</v>
      </c>
      <c r="J160" s="262">
        <f t="shared" si="10"/>
        <v>596.12599065936001</v>
      </c>
      <c r="K160" s="262">
        <v>1</v>
      </c>
      <c r="L160" s="262">
        <v>3.06</v>
      </c>
      <c r="M160" s="262"/>
      <c r="N160" s="261">
        <v>1</v>
      </c>
      <c r="O160" s="261">
        <v>4.5</v>
      </c>
      <c r="P160" s="261">
        <f t="shared" si="11"/>
        <v>90000</v>
      </c>
      <c r="Q160" s="262">
        <v>0.02</v>
      </c>
      <c r="R160" s="262">
        <v>1.6</v>
      </c>
      <c r="S160" s="262">
        <f t="shared" si="12"/>
        <v>146880</v>
      </c>
      <c r="T160" s="262">
        <v>-2</v>
      </c>
      <c r="V160" s="243">
        <v>100</v>
      </c>
      <c r="W160" s="54">
        <f t="shared" si="8"/>
        <v>0.95164839859605932</v>
      </c>
      <c r="X160" s="53">
        <f t="shared" si="9"/>
        <v>0.95164839859605932</v>
      </c>
    </row>
    <row r="161" spans="1:12" s="49" customFormat="1"/>
    <row r="162" spans="1:12" s="49" customFormat="1">
      <c r="A162" s="263" t="s">
        <v>577</v>
      </c>
      <c r="B162" s="184"/>
      <c r="C162" s="184"/>
      <c r="D162" s="184"/>
      <c r="F162" s="155" t="s">
        <v>63</v>
      </c>
    </row>
    <row r="163" spans="1:12" s="49" customFormat="1" ht="12.5" thickBot="1">
      <c r="A163" s="255" t="s">
        <v>1104</v>
      </c>
      <c r="B163" s="255" t="s">
        <v>40</v>
      </c>
      <c r="C163" s="256" t="s">
        <v>58</v>
      </c>
      <c r="D163" s="256" t="s">
        <v>892</v>
      </c>
      <c r="E163" s="153"/>
      <c r="F163" s="247" t="s">
        <v>870</v>
      </c>
      <c r="G163" s="161" t="s">
        <v>857</v>
      </c>
      <c r="H163" s="161" t="s">
        <v>900</v>
      </c>
    </row>
    <row r="164" spans="1:12" s="49" customFormat="1">
      <c r="A164" s="184">
        <v>1</v>
      </c>
      <c r="B164" s="184">
        <v>160</v>
      </c>
      <c r="C164" s="184">
        <v>110000</v>
      </c>
      <c r="D164" s="184">
        <f>(C164+C164*($J$166/100))*$D$75</f>
        <v>159390</v>
      </c>
      <c r="F164" s="248">
        <v>150</v>
      </c>
      <c r="G164" s="183">
        <f>IF((F164*$C$122)&lt;=$J$165+6,($C$13*$J$170+$E$13*POWER((F164*$C$122),$G$13))/($J$170+POWER((F164*$C$122),$G$13)),IF((F164*$C$122)&gt;B164,$C$26-$E$26*EXP(-D164*POWER((F164*$C$122),$G$26)),1))</f>
        <v>1</v>
      </c>
      <c r="H164" s="239">
        <f>IF(G164&lt;0,0,G164)</f>
        <v>1</v>
      </c>
      <c r="I164" s="214" t="s">
        <v>59</v>
      </c>
      <c r="J164" s="215" t="s">
        <v>1034</v>
      </c>
    </row>
    <row r="165" spans="1:12" s="49" customFormat="1">
      <c r="A165" s="184">
        <v>2</v>
      </c>
      <c r="B165" s="184">
        <v>140</v>
      </c>
      <c r="C165" s="184">
        <v>90000</v>
      </c>
      <c r="D165" s="184">
        <f>(C165+C165*($J$166/100))*$D$75</f>
        <v>130409.99999999999</v>
      </c>
      <c r="F165" s="248">
        <v>150</v>
      </c>
      <c r="G165" s="183">
        <f>IF((F165*$C$122)&lt;=$J$165+6,($C$13*$J$170+$E$13*POWER((F165*$C$122),$G$13))/($J$170+POWER((F165*$C$122),$G$13)),IF((F165*$C$122)&gt;B165,$C$26-$E$26*EXP(-D165*POWER((F165*$C$122),$G$26)),1))</f>
        <v>0.9863213985229532</v>
      </c>
      <c r="H165" s="239">
        <f>IF(G165&lt;0,0,G165)</f>
        <v>0.9863213985229532</v>
      </c>
      <c r="I165" s="165" t="s">
        <v>60</v>
      </c>
      <c r="J165" s="220">
        <f>N49</f>
        <v>21</v>
      </c>
    </row>
    <row r="166" spans="1:12" s="49" customFormat="1">
      <c r="A166" s="184">
        <v>3</v>
      </c>
      <c r="B166" s="184">
        <v>115</v>
      </c>
      <c r="C166" s="184">
        <v>70000</v>
      </c>
      <c r="D166" s="184">
        <f>(C166+C166*($J$166/100))*$D$75</f>
        <v>101430</v>
      </c>
      <c r="F166" s="248">
        <v>150</v>
      </c>
      <c r="G166" s="183">
        <f>IF((F166*$C$122)&lt;=$J$165+6,($C$13*$J$170+$E$13*POWER((F166*$C$122),$G$13))/($J$170+POWER((F166*$C$122),$G$13)),IF((F166*$C$122)&gt;B166,$C$26-$E$26*EXP(-D166*POWER((F166*$C$122),$G$26)),1))</f>
        <v>0.95040784401512146</v>
      </c>
      <c r="H166" s="239">
        <f>IF(G166&lt;0,0,G166)</f>
        <v>0.95040784401512146</v>
      </c>
      <c r="I166" s="165" t="s">
        <v>70</v>
      </c>
      <c r="J166" s="220">
        <v>3.5</v>
      </c>
    </row>
    <row r="167" spans="1:12" s="49" customFormat="1">
      <c r="A167" s="184">
        <v>4</v>
      </c>
      <c r="B167" s="184">
        <v>85</v>
      </c>
      <c r="C167" s="184">
        <v>35000</v>
      </c>
      <c r="D167" s="184">
        <f>(C167+C167*($J$166/100))*$D$75</f>
        <v>50715</v>
      </c>
      <c r="F167" s="248">
        <v>150</v>
      </c>
      <c r="G167" s="183">
        <f>IF((F167*$C$122)&lt;=$J$165+6,($C$13*$J$170+$E$13*POWER((F167*$C$122),$G$13))/($J$170+POWER((F167*$C$122),$G$13)),IF((F167*$C$122)&gt;B167,$C$26-$E$26*EXP(-D167*POWER((F167*$C$122),$G$26)),1))</f>
        <v>0.52759688619574741</v>
      </c>
      <c r="H167" s="239">
        <f>IF(G167&lt;0,0,G167)</f>
        <v>0.52759688619574741</v>
      </c>
      <c r="I167" s="165" t="s">
        <v>835</v>
      </c>
      <c r="J167" s="220">
        <v>2</v>
      </c>
    </row>
    <row r="168" spans="1:12" s="49" customFormat="1">
      <c r="A168" s="184">
        <v>5</v>
      </c>
      <c r="B168" s="184">
        <v>60</v>
      </c>
      <c r="C168" s="184">
        <v>20000</v>
      </c>
      <c r="D168" s="184">
        <f>(C168+C168*($J$166/100))*$D$75</f>
        <v>28979.999999999996</v>
      </c>
      <c r="F168" s="248">
        <v>150</v>
      </c>
      <c r="G168" s="183">
        <f>IF((F168*$C$122)&lt;=$J$165+6,($C$13*$J$170+$E$13*POWER((F168*$C$122),$G$13))/($J$170+POWER((F168*$C$122),$G$13)),IF((F168*$C$122)&gt;B168,$C$26-$E$26*EXP(-D168*POWER((F168*$C$122),$G$26)),1))</f>
        <v>-0.24119844004119217</v>
      </c>
      <c r="H168" s="239">
        <f>IF(G168&lt;0,0,G168)</f>
        <v>0</v>
      </c>
      <c r="I168" s="165" t="s">
        <v>574</v>
      </c>
      <c r="J168" s="220">
        <v>2</v>
      </c>
    </row>
    <row r="169" spans="1:12" s="49" customFormat="1">
      <c r="I169" s="165" t="s">
        <v>62</v>
      </c>
      <c r="J169" s="220">
        <v>3</v>
      </c>
    </row>
    <row r="170" spans="1:12" s="49" customFormat="1" ht="12" thickBot="1">
      <c r="I170" s="167" t="s">
        <v>863</v>
      </c>
      <c r="J170" s="224">
        <f>$P$49+($P$49*(J166/200)*$B$74)</f>
        <v>404.97429404849993</v>
      </c>
    </row>
    <row r="171" spans="1:12" s="49" customFormat="1">
      <c r="I171" s="73"/>
      <c r="J171" s="72"/>
    </row>
    <row r="172" spans="1:12" s="49" customFormat="1">
      <c r="A172" s="263" t="s">
        <v>578</v>
      </c>
      <c r="B172" s="184"/>
      <c r="C172" s="184"/>
      <c r="D172" s="184"/>
      <c r="E172" s="184"/>
      <c r="F172" s="184"/>
      <c r="H172" s="155" t="s">
        <v>580</v>
      </c>
      <c r="I172" s="55"/>
      <c r="J172" s="55"/>
      <c r="K172" s="72"/>
    </row>
    <row r="173" spans="1:12" s="49" customFormat="1" ht="13.5" thickBot="1">
      <c r="A173" s="257" t="s">
        <v>926</v>
      </c>
      <c r="B173" s="257" t="s">
        <v>1008</v>
      </c>
      <c r="C173" s="259" t="s">
        <v>1016</v>
      </c>
      <c r="D173" s="264" t="s">
        <v>27</v>
      </c>
      <c r="E173" s="259" t="s">
        <v>35</v>
      </c>
      <c r="F173" s="265" t="s">
        <v>891</v>
      </c>
      <c r="G173" s="240"/>
      <c r="H173" s="247" t="s">
        <v>870</v>
      </c>
      <c r="I173" s="160" t="s">
        <v>857</v>
      </c>
      <c r="J173" s="161" t="s">
        <v>900</v>
      </c>
      <c r="K173" s="72"/>
    </row>
    <row r="174" spans="1:12" s="49" customFormat="1" ht="12.5">
      <c r="A174" s="261" t="s">
        <v>611</v>
      </c>
      <c r="B174" s="266">
        <v>1</v>
      </c>
      <c r="C174" s="262">
        <v>20</v>
      </c>
      <c r="D174" s="262">
        <f t="shared" ref="D174:D180" si="13">C174+6</f>
        <v>26</v>
      </c>
      <c r="E174" s="605">
        <f t="shared" ref="E174:E180" si="14">213.96744-39.579185*C174+2.3020512*C174*C174</f>
        <v>343.20422000000008</v>
      </c>
      <c r="F174" s="606">
        <f t="shared" ref="F174:F180" si="15">E174+(E174*($L$174/200)*$B$74)</f>
        <v>349.21029385000008</v>
      </c>
      <c r="H174" s="248">
        <v>5</v>
      </c>
      <c r="I174" s="183">
        <f t="shared" ref="I174:I180" si="16">IF((H174*$C$122)&lt;=D174,($C$13*F174+$E$13*POWER((H174*$C$122),$G$13))/(F174+POWER((H174*$C$122),$G$13)),IF((H174*$C$122)&gt;$B$82,$C$26-$E$26*EXP(-$L$179*POWER((H174*$C$122),$G$26)),1))</f>
        <v>0.28277023253892897</v>
      </c>
      <c r="J174" s="239">
        <f t="shared" ref="J174:J180" si="17">IF(I174&lt;0,0,I174)</f>
        <v>0.28277023253892897</v>
      </c>
      <c r="K174" s="214" t="s">
        <v>70</v>
      </c>
      <c r="L174" s="241">
        <v>3.5</v>
      </c>
    </row>
    <row r="175" spans="1:12" s="49" customFormat="1" ht="12.5">
      <c r="A175" s="261" t="s">
        <v>1033</v>
      </c>
      <c r="B175" s="266">
        <v>2</v>
      </c>
      <c r="C175" s="262">
        <v>16</v>
      </c>
      <c r="D175" s="262">
        <f t="shared" si="13"/>
        <v>22</v>
      </c>
      <c r="E175" s="605">
        <f t="shared" si="14"/>
        <v>170.02558720000002</v>
      </c>
      <c r="F175" s="606">
        <f t="shared" si="15"/>
        <v>173.00103497600003</v>
      </c>
      <c r="H175" s="248">
        <v>5</v>
      </c>
      <c r="I175" s="183">
        <f t="shared" si="16"/>
        <v>0.44314775424386282</v>
      </c>
      <c r="J175" s="239">
        <f t="shared" si="17"/>
        <v>0.44314775424386282</v>
      </c>
      <c r="K175" s="165" t="s">
        <v>835</v>
      </c>
      <c r="L175" s="220">
        <v>2</v>
      </c>
    </row>
    <row r="176" spans="1:12" s="49" customFormat="1" ht="12.5">
      <c r="A176" s="261" t="s">
        <v>1032</v>
      </c>
      <c r="B176" s="266">
        <v>3</v>
      </c>
      <c r="C176" s="262">
        <v>12</v>
      </c>
      <c r="D176" s="262">
        <f t="shared" si="13"/>
        <v>18</v>
      </c>
      <c r="E176" s="605">
        <f t="shared" si="14"/>
        <v>70.512592799999993</v>
      </c>
      <c r="F176" s="606">
        <f t="shared" si="15"/>
        <v>71.746563173999988</v>
      </c>
      <c r="H176" s="248">
        <v>5</v>
      </c>
      <c r="I176" s="183">
        <f t="shared" si="16"/>
        <v>0.65740564272338631</v>
      </c>
      <c r="J176" s="239">
        <f t="shared" si="17"/>
        <v>0.65740564272338631</v>
      </c>
      <c r="K176" s="165" t="s">
        <v>574</v>
      </c>
      <c r="L176" s="220">
        <v>2</v>
      </c>
    </row>
    <row r="177" spans="1:12" s="49" customFormat="1">
      <c r="A177" s="261" t="s">
        <v>1027</v>
      </c>
      <c r="B177" s="268">
        <v>4</v>
      </c>
      <c r="C177" s="262">
        <v>16</v>
      </c>
      <c r="D177" s="262">
        <f t="shared" si="13"/>
        <v>22</v>
      </c>
      <c r="E177" s="605">
        <f t="shared" si="14"/>
        <v>170.02558720000002</v>
      </c>
      <c r="F177" s="606">
        <f t="shared" si="15"/>
        <v>173.00103497600003</v>
      </c>
      <c r="H177" s="248">
        <v>5</v>
      </c>
      <c r="I177" s="183">
        <f t="shared" si="16"/>
        <v>0.44314775424386282</v>
      </c>
      <c r="J177" s="239">
        <f t="shared" si="17"/>
        <v>0.44314775424386282</v>
      </c>
      <c r="K177" s="165" t="s">
        <v>62</v>
      </c>
      <c r="L177" s="220">
        <v>3</v>
      </c>
    </row>
    <row r="178" spans="1:12" s="49" customFormat="1">
      <c r="A178" s="261" t="s">
        <v>1037</v>
      </c>
      <c r="B178" s="268">
        <v>5</v>
      </c>
      <c r="C178" s="262">
        <v>16</v>
      </c>
      <c r="D178" s="262">
        <f t="shared" si="13"/>
        <v>22</v>
      </c>
      <c r="E178" s="605">
        <f t="shared" si="14"/>
        <v>170.02558720000002</v>
      </c>
      <c r="F178" s="606">
        <f t="shared" si="15"/>
        <v>173.00103497600003</v>
      </c>
      <c r="H178" s="248">
        <v>5</v>
      </c>
      <c r="I178" s="183">
        <f t="shared" si="16"/>
        <v>0.44314775424386282</v>
      </c>
      <c r="J178" s="239">
        <f t="shared" si="17"/>
        <v>0.44314775424386282</v>
      </c>
      <c r="K178" s="165" t="s">
        <v>67</v>
      </c>
      <c r="L178" s="220">
        <v>2</v>
      </c>
    </row>
    <row r="179" spans="1:12" s="49" customFormat="1" ht="12" thickBot="1">
      <c r="A179" s="261" t="s">
        <v>1038</v>
      </c>
      <c r="B179" s="268">
        <v>6</v>
      </c>
      <c r="C179" s="262">
        <v>24</v>
      </c>
      <c r="D179" s="262">
        <f t="shared" si="13"/>
        <v>30</v>
      </c>
      <c r="E179" s="605">
        <f t="shared" si="14"/>
        <v>590.04849120000006</v>
      </c>
      <c r="F179" s="606">
        <f t="shared" si="15"/>
        <v>600.37433979600007</v>
      </c>
      <c r="H179" s="248">
        <v>5</v>
      </c>
      <c r="I179" s="183">
        <f t="shared" si="16"/>
        <v>0.18654414276098777</v>
      </c>
      <c r="J179" s="239">
        <f t="shared" si="17"/>
        <v>0.18654414276098777</v>
      </c>
      <c r="K179" s="167" t="s">
        <v>864</v>
      </c>
      <c r="L179" s="224">
        <f>($C$82+$C$82*(L176/100))*$D$75</f>
        <v>128519.99999999999</v>
      </c>
    </row>
    <row r="180" spans="1:12" s="49" customFormat="1" ht="12.5">
      <c r="A180" s="261" t="s">
        <v>1034</v>
      </c>
      <c r="B180" s="266">
        <v>7</v>
      </c>
      <c r="C180" s="262">
        <v>21</v>
      </c>
      <c r="D180" s="262">
        <f t="shared" si="13"/>
        <v>27</v>
      </c>
      <c r="E180" s="605">
        <f t="shared" si="14"/>
        <v>398.00913419999995</v>
      </c>
      <c r="F180" s="606">
        <f t="shared" si="15"/>
        <v>404.97429404849993</v>
      </c>
      <c r="H180" s="248">
        <v>5</v>
      </c>
      <c r="I180" s="183">
        <f t="shared" si="16"/>
        <v>0.25371288931800123</v>
      </c>
      <c r="J180" s="239">
        <f t="shared" si="17"/>
        <v>0.25371288931800123</v>
      </c>
      <c r="K180" s="73"/>
      <c r="L180" s="72"/>
    </row>
    <row r="181" spans="1:12" s="49" customFormat="1">
      <c r="I181" s="73"/>
    </row>
    <row r="182" spans="1:12" s="49" customFormat="1"/>
    <row r="183" spans="1:12" s="49" customFormat="1">
      <c r="A183" s="51" t="s">
        <v>579</v>
      </c>
    </row>
    <row r="184" spans="1:12" s="49" customFormat="1" ht="23">
      <c r="A184" s="203" t="s">
        <v>926</v>
      </c>
      <c r="B184" s="203" t="s">
        <v>637</v>
      </c>
      <c r="C184" s="161"/>
      <c r="D184" s="161"/>
      <c r="E184" s="607" t="s">
        <v>22</v>
      </c>
      <c r="F184" s="608" t="s">
        <v>78</v>
      </c>
    </row>
    <row r="185" spans="1:12" s="49" customFormat="1">
      <c r="A185" s="559" t="s">
        <v>638</v>
      </c>
      <c r="B185" s="559" t="s">
        <v>639</v>
      </c>
      <c r="C185" s="523"/>
      <c r="D185" s="523"/>
      <c r="E185" s="609">
        <v>23</v>
      </c>
      <c r="F185" s="610" t="s">
        <v>79</v>
      </c>
      <c r="G185" s="523" t="s">
        <v>349</v>
      </c>
      <c r="H185" s="523"/>
      <c r="I185" s="523"/>
      <c r="J185" s="523"/>
      <c r="K185" s="523"/>
    </row>
    <row r="186" spans="1:12" s="49" customFormat="1">
      <c r="A186" s="200" t="s">
        <v>640</v>
      </c>
      <c r="E186" s="618">
        <v>19</v>
      </c>
      <c r="F186" s="619" t="s">
        <v>79</v>
      </c>
      <c r="G186" s="51" t="s">
        <v>23</v>
      </c>
    </row>
    <row r="187" spans="1:12" s="49" customFormat="1">
      <c r="A187" s="200" t="s">
        <v>641</v>
      </c>
      <c r="B187" s="200" t="s">
        <v>642</v>
      </c>
      <c r="E187" s="618">
        <v>19</v>
      </c>
      <c r="F187" s="619" t="s">
        <v>79</v>
      </c>
      <c r="G187" s="51" t="s">
        <v>24</v>
      </c>
    </row>
    <row r="188" spans="1:12" s="49" customFormat="1">
      <c r="A188" s="200" t="s">
        <v>643</v>
      </c>
      <c r="E188" s="618">
        <v>19</v>
      </c>
      <c r="F188" s="619" t="s">
        <v>79</v>
      </c>
    </row>
    <row r="189" spans="1:12" s="49" customFormat="1">
      <c r="A189" s="200" t="s">
        <v>644</v>
      </c>
      <c r="B189" s="200" t="s">
        <v>645</v>
      </c>
      <c r="E189" s="618">
        <v>19</v>
      </c>
      <c r="F189" s="619" t="s">
        <v>79</v>
      </c>
    </row>
    <row r="190" spans="1:12" s="49" customFormat="1">
      <c r="A190" s="200" t="s">
        <v>646</v>
      </c>
      <c r="B190" s="200" t="s">
        <v>647</v>
      </c>
      <c r="E190" s="618">
        <v>19</v>
      </c>
      <c r="F190" s="619" t="s">
        <v>79</v>
      </c>
    </row>
    <row r="191" spans="1:12" s="49" customFormat="1">
      <c r="A191" s="200" t="s">
        <v>648</v>
      </c>
      <c r="B191" s="200" t="s">
        <v>649</v>
      </c>
      <c r="E191" s="618">
        <v>19</v>
      </c>
      <c r="F191" s="619" t="s">
        <v>79</v>
      </c>
    </row>
    <row r="192" spans="1:12" s="49" customFormat="1">
      <c r="A192" s="200" t="s">
        <v>650</v>
      </c>
      <c r="B192" s="200" t="s">
        <v>651</v>
      </c>
      <c r="E192" s="618">
        <v>19</v>
      </c>
      <c r="F192" s="619" t="s">
        <v>79</v>
      </c>
      <c r="H192"/>
      <c r="I192"/>
      <c r="J192"/>
    </row>
    <row r="193" spans="1:10" s="49" customFormat="1">
      <c r="A193" s="200" t="s">
        <v>654</v>
      </c>
      <c r="B193" s="200" t="s">
        <v>655</v>
      </c>
      <c r="E193" s="627">
        <v>20</v>
      </c>
      <c r="F193" s="619" t="s">
        <v>900</v>
      </c>
      <c r="H193"/>
      <c r="I193"/>
      <c r="J193"/>
    </row>
    <row r="194" spans="1:10" s="49" customFormat="1">
      <c r="A194" s="200" t="s">
        <v>658</v>
      </c>
      <c r="B194" s="200" t="s">
        <v>659</v>
      </c>
      <c r="E194" s="618">
        <v>19</v>
      </c>
      <c r="F194" s="619" t="s">
        <v>79</v>
      </c>
      <c r="H194"/>
      <c r="I194"/>
      <c r="J194"/>
    </row>
    <row r="195" spans="1:10" s="49" customFormat="1">
      <c r="A195" s="200" t="s">
        <v>656</v>
      </c>
      <c r="B195" s="200" t="s">
        <v>657</v>
      </c>
      <c r="E195" s="618">
        <v>19</v>
      </c>
      <c r="F195" s="619" t="s">
        <v>79</v>
      </c>
      <c r="H195"/>
      <c r="I195"/>
      <c r="J195"/>
    </row>
    <row r="196" spans="1:10" s="49" customFormat="1">
      <c r="A196" s="200" t="s">
        <v>652</v>
      </c>
      <c r="B196" s="200" t="s">
        <v>653</v>
      </c>
      <c r="E196" s="618">
        <v>19</v>
      </c>
      <c r="F196" s="619" t="s">
        <v>79</v>
      </c>
      <c r="H196"/>
      <c r="I196"/>
      <c r="J196"/>
    </row>
    <row r="197" spans="1:10" s="49" customFormat="1">
      <c r="A197" s="620" t="s">
        <v>369</v>
      </c>
      <c r="B197" s="620"/>
      <c r="C197" s="621"/>
      <c r="D197" s="621"/>
      <c r="E197" s="622"/>
      <c r="F197" s="623"/>
      <c r="H197"/>
      <c r="I197"/>
      <c r="J197"/>
    </row>
    <row r="198" spans="1:10" s="49" customFormat="1">
      <c r="A198" s="523" t="s">
        <v>392</v>
      </c>
      <c r="B198" s="559" t="s">
        <v>396</v>
      </c>
      <c r="C198" s="523"/>
      <c r="D198" s="523"/>
      <c r="E198" s="556">
        <v>12</v>
      </c>
      <c r="F198" s="556" t="s">
        <v>79</v>
      </c>
      <c r="G198" s="676" t="s">
        <v>398</v>
      </c>
      <c r="H198" s="523"/>
      <c r="I198" s="523"/>
    </row>
    <row r="199" spans="1:10" s="49" customFormat="1">
      <c r="A199" s="523" t="s">
        <v>391</v>
      </c>
      <c r="B199" s="523" t="s">
        <v>397</v>
      </c>
      <c r="C199" s="523"/>
      <c r="D199" s="523"/>
      <c r="E199" s="556">
        <v>12</v>
      </c>
      <c r="F199" s="556" t="s">
        <v>79</v>
      </c>
      <c r="G199" s="676" t="s">
        <v>398</v>
      </c>
      <c r="H199" s="523"/>
      <c r="I199" s="523"/>
    </row>
    <row r="200" spans="1:10" s="49" customFormat="1">
      <c r="A200" s="200" t="s">
        <v>660</v>
      </c>
      <c r="B200" s="200" t="s">
        <v>661</v>
      </c>
      <c r="E200" s="618">
        <v>19</v>
      </c>
      <c r="F200" s="619" t="s">
        <v>79</v>
      </c>
    </row>
    <row r="201" spans="1:10" s="49" customFormat="1">
      <c r="A201" s="200" t="s">
        <v>662</v>
      </c>
      <c r="B201" s="200" t="s">
        <v>663</v>
      </c>
      <c r="E201" s="618">
        <v>19</v>
      </c>
      <c r="F201" s="619" t="s">
        <v>79</v>
      </c>
    </row>
    <row r="202" spans="1:10" s="49" customFormat="1">
      <c r="A202" s="200" t="s">
        <v>664</v>
      </c>
      <c r="B202" s="200" t="s">
        <v>665</v>
      </c>
      <c r="E202" s="618">
        <v>19</v>
      </c>
      <c r="F202" s="619" t="s">
        <v>79</v>
      </c>
    </row>
    <row r="203" spans="1:10" s="49" customFormat="1">
      <c r="A203" s="200" t="s">
        <v>676</v>
      </c>
      <c r="E203" s="618">
        <v>19</v>
      </c>
      <c r="F203" s="619" t="s">
        <v>79</v>
      </c>
    </row>
    <row r="204" spans="1:10" s="49" customFormat="1">
      <c r="A204" s="200" t="s">
        <v>666</v>
      </c>
      <c r="B204" s="200" t="s">
        <v>667</v>
      </c>
      <c r="E204" s="618">
        <v>19</v>
      </c>
      <c r="F204" s="619" t="s">
        <v>79</v>
      </c>
    </row>
    <row r="205" spans="1:10" s="49" customFormat="1">
      <c r="A205" s="200" t="s">
        <v>668</v>
      </c>
      <c r="B205" s="200" t="s">
        <v>669</v>
      </c>
      <c r="E205" s="618">
        <v>19</v>
      </c>
      <c r="F205" s="619" t="s">
        <v>79</v>
      </c>
    </row>
    <row r="206" spans="1:10" s="49" customFormat="1">
      <c r="A206" s="200" t="s">
        <v>670</v>
      </c>
      <c r="B206" s="200" t="s">
        <v>671</v>
      </c>
      <c r="E206" s="618">
        <v>19</v>
      </c>
      <c r="F206" s="619" t="s">
        <v>79</v>
      </c>
    </row>
    <row r="207" spans="1:10" s="49" customFormat="1">
      <c r="A207" s="200" t="s">
        <v>672</v>
      </c>
      <c r="E207" s="618">
        <v>19</v>
      </c>
      <c r="F207" s="619" t="s">
        <v>79</v>
      </c>
    </row>
    <row r="208" spans="1:10" s="49" customFormat="1">
      <c r="A208" s="200" t="s">
        <v>673</v>
      </c>
      <c r="E208" s="618">
        <v>19</v>
      </c>
      <c r="F208" s="619" t="s">
        <v>79</v>
      </c>
    </row>
    <row r="209" spans="1:11" s="49" customFormat="1">
      <c r="A209" s="200" t="s">
        <v>674</v>
      </c>
      <c r="B209" s="200" t="s">
        <v>675</v>
      </c>
      <c r="E209" s="618">
        <v>19</v>
      </c>
      <c r="F209" s="619" t="s">
        <v>79</v>
      </c>
    </row>
    <row r="210" spans="1:11" s="49" customFormat="1">
      <c r="A210" s="563" t="s">
        <v>304</v>
      </c>
      <c r="B210" s="563"/>
      <c r="C210" s="52"/>
      <c r="D210" s="52"/>
      <c r="E210" s="618">
        <v>20</v>
      </c>
      <c r="F210" s="619"/>
      <c r="G210" s="52" t="s">
        <v>349</v>
      </c>
      <c r="H210" s="52"/>
      <c r="I210" s="52"/>
      <c r="J210" s="52"/>
      <c r="K210" s="52"/>
    </row>
    <row r="211" spans="1:11" s="49" customFormat="1">
      <c r="A211" s="620" t="s">
        <v>367</v>
      </c>
      <c r="B211" s="620"/>
      <c r="C211" s="621"/>
      <c r="D211" s="621"/>
      <c r="E211" s="622">
        <v>22</v>
      </c>
      <c r="F211" s="623"/>
    </row>
    <row r="212" spans="1:11" s="49" customFormat="1">
      <c r="A212" s="200" t="s">
        <v>677</v>
      </c>
      <c r="B212" s="200" t="s">
        <v>678</v>
      </c>
      <c r="E212" s="618">
        <v>19</v>
      </c>
      <c r="F212" s="619" t="s">
        <v>79</v>
      </c>
    </row>
    <row r="213" spans="1:11" s="49" customFormat="1">
      <c r="A213" s="559" t="s">
        <v>1033</v>
      </c>
      <c r="B213" s="559" t="s">
        <v>681</v>
      </c>
      <c r="C213" s="523"/>
      <c r="D213" s="523"/>
      <c r="E213" s="628">
        <v>16</v>
      </c>
      <c r="F213" s="610" t="s">
        <v>900</v>
      </c>
    </row>
    <row r="214" spans="1:11" s="49" customFormat="1">
      <c r="A214" s="200" t="s">
        <v>682</v>
      </c>
      <c r="B214" s="200" t="s">
        <v>683</v>
      </c>
      <c r="E214" s="618">
        <v>19</v>
      </c>
      <c r="F214" s="619" t="s">
        <v>79</v>
      </c>
    </row>
    <row r="215" spans="1:11" s="49" customFormat="1">
      <c r="A215" s="200" t="s">
        <v>960</v>
      </c>
      <c r="B215" s="200" t="s">
        <v>684</v>
      </c>
      <c r="E215" s="618">
        <v>19</v>
      </c>
      <c r="F215" s="619" t="s">
        <v>79</v>
      </c>
    </row>
    <row r="216" spans="1:11" s="49" customFormat="1">
      <c r="A216" s="200" t="s">
        <v>687</v>
      </c>
      <c r="B216" s="200" t="s">
        <v>688</v>
      </c>
      <c r="E216" s="618">
        <v>19</v>
      </c>
      <c r="F216" s="619" t="s">
        <v>79</v>
      </c>
    </row>
    <row r="217" spans="1:11" s="49" customFormat="1">
      <c r="A217" s="200" t="s">
        <v>679</v>
      </c>
      <c r="B217" s="200" t="s">
        <v>680</v>
      </c>
      <c r="E217" s="618">
        <v>19</v>
      </c>
      <c r="F217" s="619" t="s">
        <v>79</v>
      </c>
    </row>
    <row r="218" spans="1:11" s="49" customFormat="1">
      <c r="A218" s="200" t="s">
        <v>685</v>
      </c>
      <c r="B218" s="200" t="s">
        <v>686</v>
      </c>
      <c r="E218" s="618">
        <v>19</v>
      </c>
      <c r="F218" s="619" t="s">
        <v>79</v>
      </c>
    </row>
    <row r="219" spans="1:11" s="49" customFormat="1">
      <c r="A219" s="200" t="s">
        <v>694</v>
      </c>
      <c r="E219" s="618">
        <v>19</v>
      </c>
      <c r="F219" s="619" t="s">
        <v>79</v>
      </c>
    </row>
    <row r="220" spans="1:11" s="49" customFormat="1">
      <c r="A220" s="200" t="s">
        <v>689</v>
      </c>
      <c r="B220" s="200" t="s">
        <v>690</v>
      </c>
      <c r="E220" s="618">
        <v>19</v>
      </c>
      <c r="F220" s="619" t="s">
        <v>79</v>
      </c>
    </row>
    <row r="221" spans="1:11" s="49" customFormat="1">
      <c r="A221" s="200" t="s">
        <v>691</v>
      </c>
      <c r="E221" s="618">
        <v>19</v>
      </c>
      <c r="F221" s="619" t="s">
        <v>79</v>
      </c>
    </row>
    <row r="222" spans="1:11" s="49" customFormat="1">
      <c r="A222" s="200" t="s">
        <v>693</v>
      </c>
      <c r="E222" s="618">
        <v>19</v>
      </c>
      <c r="F222" s="619" t="s">
        <v>79</v>
      </c>
    </row>
    <row r="223" spans="1:11" s="49" customFormat="1">
      <c r="A223" s="200" t="s">
        <v>1032</v>
      </c>
      <c r="B223" s="200" t="s">
        <v>692</v>
      </c>
      <c r="E223" s="627">
        <v>12</v>
      </c>
      <c r="F223" s="619" t="s">
        <v>900</v>
      </c>
    </row>
    <row r="224" spans="1:11" s="49" customFormat="1">
      <c r="A224" s="200" t="s">
        <v>732</v>
      </c>
      <c r="E224" s="618">
        <v>19</v>
      </c>
      <c r="F224" s="619" t="s">
        <v>79</v>
      </c>
    </row>
    <row r="225" spans="1:9" s="49" customFormat="1">
      <c r="A225" s="200" t="s">
        <v>695</v>
      </c>
      <c r="B225" s="200" t="s">
        <v>696</v>
      </c>
      <c r="E225" s="618">
        <v>19</v>
      </c>
      <c r="F225" s="619" t="s">
        <v>79</v>
      </c>
    </row>
    <row r="226" spans="1:9" s="49" customFormat="1">
      <c r="A226" s="200" t="s">
        <v>697</v>
      </c>
      <c r="E226" s="618">
        <v>19</v>
      </c>
      <c r="F226" s="619" t="s">
        <v>79</v>
      </c>
    </row>
    <row r="227" spans="1:9" s="49" customFormat="1">
      <c r="A227" s="200" t="s">
        <v>698</v>
      </c>
      <c r="E227" s="618">
        <v>19</v>
      </c>
      <c r="F227" s="619" t="s">
        <v>79</v>
      </c>
    </row>
    <row r="228" spans="1:9" s="49" customFormat="1">
      <c r="A228" s="200" t="s">
        <v>968</v>
      </c>
      <c r="B228" s="200" t="s">
        <v>699</v>
      </c>
      <c r="E228" s="618">
        <v>19</v>
      </c>
      <c r="F228" s="619" t="s">
        <v>79</v>
      </c>
    </row>
    <row r="229" spans="1:9" s="49" customFormat="1">
      <c r="A229" s="200" t="s">
        <v>700</v>
      </c>
      <c r="E229" s="618">
        <v>19</v>
      </c>
      <c r="F229" s="619" t="s">
        <v>79</v>
      </c>
    </row>
    <row r="230" spans="1:9" s="49" customFormat="1">
      <c r="A230" s="200" t="s">
        <v>701</v>
      </c>
      <c r="E230" s="618">
        <v>19</v>
      </c>
      <c r="F230" s="619" t="s">
        <v>79</v>
      </c>
    </row>
    <row r="231" spans="1:9" s="49" customFormat="1">
      <c r="A231" s="200" t="s">
        <v>702</v>
      </c>
      <c r="B231" s="200" t="s">
        <v>703</v>
      </c>
      <c r="E231" s="618">
        <v>19</v>
      </c>
      <c r="F231" s="619" t="s">
        <v>79</v>
      </c>
    </row>
    <row r="232" spans="1:9" s="49" customFormat="1">
      <c r="A232" s="200" t="s">
        <v>704</v>
      </c>
      <c r="E232" s="618">
        <v>19</v>
      </c>
      <c r="F232" s="619" t="s">
        <v>79</v>
      </c>
    </row>
    <row r="233" spans="1:9" s="49" customFormat="1">
      <c r="A233" s="200" t="s">
        <v>705</v>
      </c>
      <c r="B233" s="200" t="s">
        <v>706</v>
      </c>
      <c r="E233" s="618">
        <v>19</v>
      </c>
      <c r="F233" s="619" t="s">
        <v>79</v>
      </c>
    </row>
    <row r="234" spans="1:9" s="49" customFormat="1" ht="12.5">
      <c r="A234" s="523" t="s">
        <v>393</v>
      </c>
      <c r="B234" s="523" t="s">
        <v>395</v>
      </c>
      <c r="C234" s="523"/>
      <c r="D234" s="523"/>
      <c r="E234" s="675">
        <v>12</v>
      </c>
      <c r="F234" s="675" t="s">
        <v>79</v>
      </c>
      <c r="G234" s="676" t="s">
        <v>398</v>
      </c>
      <c r="H234" s="523"/>
      <c r="I234" s="523"/>
    </row>
    <row r="235" spans="1:9" s="49" customFormat="1">
      <c r="A235" s="200" t="s">
        <v>707</v>
      </c>
      <c r="B235" s="200" t="s">
        <v>708</v>
      </c>
      <c r="E235" s="618">
        <v>19</v>
      </c>
      <c r="F235" s="619" t="s">
        <v>79</v>
      </c>
    </row>
    <row r="236" spans="1:9" s="49" customFormat="1">
      <c r="A236" s="200" t="s">
        <v>709</v>
      </c>
      <c r="E236" s="618">
        <v>19</v>
      </c>
      <c r="F236" s="619" t="s">
        <v>79</v>
      </c>
    </row>
    <row r="237" spans="1:9" s="49" customFormat="1">
      <c r="A237" s="200" t="s">
        <v>712</v>
      </c>
      <c r="B237" s="200" t="s">
        <v>713</v>
      </c>
      <c r="E237" s="618">
        <v>19</v>
      </c>
      <c r="F237" s="619" t="s">
        <v>79</v>
      </c>
    </row>
    <row r="238" spans="1:9" s="49" customFormat="1">
      <c r="A238" s="200" t="s">
        <v>710</v>
      </c>
      <c r="B238" s="200" t="s">
        <v>711</v>
      </c>
      <c r="E238" s="618">
        <v>19</v>
      </c>
      <c r="F238" s="619" t="s">
        <v>79</v>
      </c>
    </row>
    <row r="239" spans="1:9" s="49" customFormat="1">
      <c r="A239" s="200" t="s">
        <v>714</v>
      </c>
      <c r="E239" s="618">
        <v>19</v>
      </c>
      <c r="F239" s="619" t="s">
        <v>79</v>
      </c>
    </row>
    <row r="240" spans="1:9" s="49" customFormat="1">
      <c r="A240" s="200" t="s">
        <v>715</v>
      </c>
      <c r="E240" s="618">
        <v>19</v>
      </c>
      <c r="F240" s="619" t="s">
        <v>79</v>
      </c>
    </row>
    <row r="241" spans="1:11" s="49" customFormat="1">
      <c r="A241" s="200" t="s">
        <v>978</v>
      </c>
      <c r="E241" s="618">
        <v>19</v>
      </c>
      <c r="F241" s="619" t="s">
        <v>79</v>
      </c>
    </row>
    <row r="242" spans="1:11" s="49" customFormat="1">
      <c r="A242" s="200" t="s">
        <v>716</v>
      </c>
      <c r="B242" s="200" t="s">
        <v>717</v>
      </c>
      <c r="E242" s="618">
        <v>19</v>
      </c>
      <c r="F242" s="619" t="s">
        <v>79</v>
      </c>
    </row>
    <row r="243" spans="1:11" s="49" customFormat="1">
      <c r="A243" s="200" t="s">
        <v>718</v>
      </c>
      <c r="E243" s="618">
        <v>19</v>
      </c>
      <c r="F243" s="619" t="s">
        <v>79</v>
      </c>
    </row>
    <row r="244" spans="1:11" s="49" customFormat="1">
      <c r="A244" s="200" t="s">
        <v>719</v>
      </c>
      <c r="E244" s="618">
        <v>19</v>
      </c>
      <c r="F244" s="619" t="s">
        <v>79</v>
      </c>
    </row>
    <row r="245" spans="1:11" s="49" customFormat="1">
      <c r="A245" s="200" t="s">
        <v>720</v>
      </c>
      <c r="B245" s="200" t="s">
        <v>721</v>
      </c>
      <c r="E245" s="618">
        <v>19</v>
      </c>
      <c r="F245" s="619" t="s">
        <v>79</v>
      </c>
    </row>
    <row r="246" spans="1:11" s="49" customFormat="1">
      <c r="A246" s="200" t="s">
        <v>722</v>
      </c>
      <c r="E246" s="618">
        <v>19</v>
      </c>
      <c r="F246" s="619" t="s">
        <v>79</v>
      </c>
    </row>
    <row r="247" spans="1:11" s="49" customFormat="1">
      <c r="A247" s="200" t="s">
        <v>723</v>
      </c>
      <c r="E247" s="618">
        <v>19</v>
      </c>
      <c r="F247" s="619" t="s">
        <v>79</v>
      </c>
    </row>
    <row r="248" spans="1:11" s="49" customFormat="1">
      <c r="A248" s="200" t="s">
        <v>973</v>
      </c>
      <c r="B248" s="200" t="s">
        <v>724</v>
      </c>
      <c r="E248" s="618">
        <v>19</v>
      </c>
      <c r="F248" s="619" t="s">
        <v>79</v>
      </c>
    </row>
    <row r="249" spans="1:11" s="49" customFormat="1">
      <c r="A249" s="559" t="s">
        <v>299</v>
      </c>
      <c r="B249" s="559"/>
      <c r="C249" s="523"/>
      <c r="D249" s="523"/>
      <c r="E249" s="609">
        <v>20</v>
      </c>
      <c r="F249" s="610"/>
      <c r="G249" s="523" t="s">
        <v>350</v>
      </c>
      <c r="H249" s="523"/>
      <c r="I249" s="523"/>
      <c r="J249" s="523"/>
      <c r="K249" s="523"/>
    </row>
    <row r="250" spans="1:11" s="49" customFormat="1">
      <c r="A250" s="200" t="s">
        <v>725</v>
      </c>
      <c r="B250" s="200" t="s">
        <v>726</v>
      </c>
      <c r="E250" s="618">
        <v>19</v>
      </c>
      <c r="F250" s="619" t="s">
        <v>79</v>
      </c>
    </row>
    <row r="251" spans="1:11" s="49" customFormat="1">
      <c r="A251" s="200" t="s">
        <v>727</v>
      </c>
      <c r="E251" s="618">
        <v>19</v>
      </c>
      <c r="F251" s="619" t="s">
        <v>79</v>
      </c>
    </row>
    <row r="252" spans="1:11" s="49" customFormat="1">
      <c r="A252" s="200" t="s">
        <v>728</v>
      </c>
      <c r="B252" s="200" t="s">
        <v>729</v>
      </c>
      <c r="E252" s="618">
        <v>19</v>
      </c>
      <c r="F252" s="619" t="s">
        <v>79</v>
      </c>
    </row>
    <row r="253" spans="1:11" s="49" customFormat="1">
      <c r="A253" s="200" t="s">
        <v>736</v>
      </c>
      <c r="B253" s="200" t="s">
        <v>737</v>
      </c>
      <c r="E253" s="618">
        <v>19</v>
      </c>
      <c r="F253" s="619" t="s">
        <v>79</v>
      </c>
    </row>
    <row r="254" spans="1:11" s="49" customFormat="1">
      <c r="A254" s="200" t="s">
        <v>743</v>
      </c>
      <c r="B254" s="200" t="s">
        <v>744</v>
      </c>
      <c r="E254" s="618">
        <v>19</v>
      </c>
      <c r="F254" s="619" t="s">
        <v>79</v>
      </c>
    </row>
    <row r="255" spans="1:11" s="49" customFormat="1">
      <c r="A255" s="200" t="s">
        <v>730</v>
      </c>
      <c r="B255" s="200" t="s">
        <v>731</v>
      </c>
      <c r="E255" s="618">
        <v>19</v>
      </c>
      <c r="F255" s="619" t="s">
        <v>79</v>
      </c>
    </row>
    <row r="256" spans="1:11" s="49" customFormat="1">
      <c r="A256" s="200" t="s">
        <v>740</v>
      </c>
      <c r="B256" s="200" t="s">
        <v>741</v>
      </c>
      <c r="E256" s="618">
        <v>19</v>
      </c>
      <c r="F256" s="619" t="s">
        <v>79</v>
      </c>
    </row>
    <row r="257" spans="1:11" s="49" customFormat="1">
      <c r="A257" s="200" t="s">
        <v>734</v>
      </c>
      <c r="B257" s="200" t="s">
        <v>735</v>
      </c>
      <c r="E257" s="618">
        <v>19</v>
      </c>
      <c r="F257" s="619" t="s">
        <v>79</v>
      </c>
    </row>
    <row r="258" spans="1:11" s="49" customFormat="1">
      <c r="A258" s="200" t="s">
        <v>733</v>
      </c>
      <c r="E258" s="618">
        <v>19</v>
      </c>
      <c r="F258" s="619" t="s">
        <v>79</v>
      </c>
    </row>
    <row r="259" spans="1:11" s="49" customFormat="1">
      <c r="A259" s="200" t="s">
        <v>742</v>
      </c>
      <c r="E259" s="618">
        <v>19</v>
      </c>
      <c r="F259" s="619" t="s">
        <v>79</v>
      </c>
    </row>
    <row r="260" spans="1:11" s="49" customFormat="1">
      <c r="A260" s="200" t="s">
        <v>738</v>
      </c>
      <c r="B260" s="200" t="s">
        <v>739</v>
      </c>
      <c r="E260" s="618">
        <v>19</v>
      </c>
      <c r="F260" s="619" t="s">
        <v>79</v>
      </c>
    </row>
    <row r="261" spans="1:11" s="49" customFormat="1">
      <c r="A261" s="200" t="s">
        <v>747</v>
      </c>
      <c r="B261" s="200" t="s">
        <v>748</v>
      </c>
      <c r="E261" s="618">
        <v>19</v>
      </c>
      <c r="F261" s="619" t="s">
        <v>79</v>
      </c>
    </row>
    <row r="262" spans="1:11" s="49" customFormat="1">
      <c r="A262" s="200" t="s">
        <v>745</v>
      </c>
      <c r="B262" s="200" t="s">
        <v>746</v>
      </c>
      <c r="E262" s="618">
        <v>19</v>
      </c>
      <c r="F262" s="619" t="s">
        <v>79</v>
      </c>
    </row>
    <row r="263" spans="1:11" s="49" customFormat="1">
      <c r="A263" s="559" t="s">
        <v>372</v>
      </c>
      <c r="B263" s="559" t="s">
        <v>749</v>
      </c>
      <c r="C263" s="523"/>
      <c r="D263" s="523"/>
      <c r="E263" s="609">
        <v>19</v>
      </c>
      <c r="F263" s="610" t="s">
        <v>79</v>
      </c>
      <c r="G263" s="523"/>
      <c r="H263" s="523"/>
      <c r="I263" s="523"/>
      <c r="J263" s="523"/>
      <c r="K263" s="523"/>
    </row>
    <row r="264" spans="1:11" s="49" customFormat="1">
      <c r="A264" s="200" t="s">
        <v>1027</v>
      </c>
      <c r="E264" s="627">
        <v>16</v>
      </c>
      <c r="F264" s="619" t="s">
        <v>900</v>
      </c>
    </row>
    <row r="265" spans="1:11" s="49" customFormat="1">
      <c r="A265" s="200" t="s">
        <v>752</v>
      </c>
      <c r="E265" s="618">
        <v>19</v>
      </c>
      <c r="F265" s="619" t="s">
        <v>79</v>
      </c>
    </row>
    <row r="266" spans="1:11" s="49" customFormat="1">
      <c r="A266" s="200" t="s">
        <v>754</v>
      </c>
      <c r="D266" s="52"/>
      <c r="E266" s="618">
        <v>19</v>
      </c>
      <c r="F266" s="619" t="s">
        <v>79</v>
      </c>
      <c r="G266" s="52"/>
    </row>
    <row r="267" spans="1:11" s="49" customFormat="1">
      <c r="A267" s="200" t="s">
        <v>753</v>
      </c>
      <c r="E267" s="618">
        <v>19</v>
      </c>
      <c r="F267" s="619" t="s">
        <v>79</v>
      </c>
    </row>
    <row r="268" spans="1:11" s="49" customFormat="1">
      <c r="A268" s="559" t="s">
        <v>308</v>
      </c>
      <c r="B268" s="559"/>
      <c r="C268" s="523"/>
      <c r="D268" s="523"/>
      <c r="E268" s="609">
        <v>20</v>
      </c>
      <c r="F268" s="610"/>
      <c r="G268" s="523" t="s">
        <v>350</v>
      </c>
      <c r="H268" s="523"/>
      <c r="I268" s="523"/>
      <c r="J268" s="523"/>
      <c r="K268" s="523"/>
    </row>
    <row r="269" spans="1:11" s="49" customFormat="1">
      <c r="A269" s="678" t="s">
        <v>755</v>
      </c>
      <c r="B269" s="678" t="s">
        <v>756</v>
      </c>
      <c r="C269" s="679"/>
      <c r="D269" s="679"/>
      <c r="E269" s="681">
        <v>19</v>
      </c>
      <c r="F269" s="682" t="s">
        <v>79</v>
      </c>
      <c r="G269" s="679"/>
      <c r="H269" s="679"/>
      <c r="I269" s="679"/>
      <c r="J269" s="679"/>
      <c r="K269" s="679"/>
    </row>
    <row r="270" spans="1:11" s="49" customFormat="1">
      <c r="A270" s="559" t="s">
        <v>1037</v>
      </c>
      <c r="B270" s="559" t="s">
        <v>757</v>
      </c>
      <c r="C270" s="523"/>
      <c r="D270" s="523"/>
      <c r="E270" s="628">
        <v>16</v>
      </c>
      <c r="F270" s="610" t="s">
        <v>900</v>
      </c>
      <c r="G270" s="523"/>
      <c r="H270" s="523"/>
      <c r="I270" s="523"/>
      <c r="J270" s="523"/>
      <c r="K270" s="523"/>
    </row>
    <row r="271" spans="1:11" s="49" customFormat="1">
      <c r="A271" s="200" t="s">
        <v>758</v>
      </c>
      <c r="E271" s="618">
        <v>19</v>
      </c>
      <c r="F271" s="619" t="s">
        <v>79</v>
      </c>
    </row>
    <row r="272" spans="1:11" s="49" customFormat="1">
      <c r="A272" s="200" t="s">
        <v>759</v>
      </c>
      <c r="E272" s="618">
        <v>19</v>
      </c>
      <c r="F272" s="619" t="s">
        <v>79</v>
      </c>
    </row>
    <row r="273" spans="1:11" s="49" customFormat="1">
      <c r="A273" s="200" t="s">
        <v>591</v>
      </c>
      <c r="B273" s="200" t="s">
        <v>592</v>
      </c>
      <c r="E273" s="627">
        <v>21</v>
      </c>
      <c r="F273" s="619" t="s">
        <v>900</v>
      </c>
    </row>
    <row r="274" spans="1:11" s="49" customFormat="1">
      <c r="A274" s="200" t="s">
        <v>761</v>
      </c>
      <c r="B274" s="200" t="s">
        <v>586</v>
      </c>
      <c r="E274" s="618">
        <v>19</v>
      </c>
      <c r="F274" s="619" t="s">
        <v>79</v>
      </c>
    </row>
    <row r="275" spans="1:11" s="49" customFormat="1">
      <c r="A275" s="200" t="s">
        <v>760</v>
      </c>
      <c r="E275" s="618">
        <v>19</v>
      </c>
      <c r="F275" s="619" t="s">
        <v>79</v>
      </c>
    </row>
    <row r="276" spans="1:11" s="49" customFormat="1">
      <c r="A276" s="200" t="s">
        <v>750</v>
      </c>
      <c r="B276" s="200" t="s">
        <v>751</v>
      </c>
      <c r="E276" s="618">
        <v>19</v>
      </c>
      <c r="F276" s="619" t="s">
        <v>79</v>
      </c>
    </row>
    <row r="277" spans="1:11" s="49" customFormat="1">
      <c r="A277" s="200" t="s">
        <v>587</v>
      </c>
      <c r="B277" s="200" t="s">
        <v>588</v>
      </c>
      <c r="E277" s="618">
        <v>19</v>
      </c>
      <c r="F277" s="619" t="s">
        <v>79</v>
      </c>
    </row>
    <row r="278" spans="1:11" s="49" customFormat="1">
      <c r="A278" s="200" t="s">
        <v>589</v>
      </c>
      <c r="B278" s="200" t="s">
        <v>590</v>
      </c>
      <c r="E278" s="618">
        <v>19</v>
      </c>
      <c r="F278" s="619" t="s">
        <v>79</v>
      </c>
    </row>
    <row r="279" spans="1:11" s="49" customFormat="1">
      <c r="A279" s="200" t="s">
        <v>593</v>
      </c>
      <c r="B279" s="200" t="s">
        <v>594</v>
      </c>
      <c r="E279" s="618">
        <v>19</v>
      </c>
      <c r="F279" s="619" t="s">
        <v>79</v>
      </c>
    </row>
    <row r="280" spans="1:11" s="49" customFormat="1">
      <c r="A280" s="559" t="s">
        <v>298</v>
      </c>
      <c r="B280" s="559"/>
      <c r="C280" s="523"/>
      <c r="D280" s="523"/>
      <c r="E280" s="609">
        <v>20</v>
      </c>
      <c r="F280" s="610"/>
      <c r="G280" s="523" t="s">
        <v>350</v>
      </c>
      <c r="H280" s="523"/>
      <c r="I280" s="523"/>
      <c r="J280" s="523"/>
      <c r="K280" s="523"/>
    </row>
    <row r="281" spans="1:11" s="49" customFormat="1">
      <c r="A281" s="200" t="s">
        <v>596</v>
      </c>
      <c r="B281" s="200" t="s">
        <v>597</v>
      </c>
      <c r="E281" s="618">
        <v>19</v>
      </c>
      <c r="F281" s="619" t="s">
        <v>79</v>
      </c>
    </row>
    <row r="282" spans="1:11" s="49" customFormat="1">
      <c r="A282" s="200" t="s">
        <v>1038</v>
      </c>
      <c r="B282" s="200" t="s">
        <v>598</v>
      </c>
      <c r="E282" s="627">
        <v>24</v>
      </c>
      <c r="F282" s="619" t="s">
        <v>900</v>
      </c>
    </row>
    <row r="283" spans="1:11" s="49" customFormat="1">
      <c r="A283" s="200" t="s">
        <v>600</v>
      </c>
      <c r="E283" s="618">
        <v>19</v>
      </c>
      <c r="F283" s="619" t="s">
        <v>79</v>
      </c>
    </row>
    <row r="284" spans="1:11" s="49" customFormat="1">
      <c r="A284" s="200" t="s">
        <v>595</v>
      </c>
      <c r="E284" s="618">
        <v>19</v>
      </c>
      <c r="F284" s="619" t="s">
        <v>79</v>
      </c>
    </row>
    <row r="285" spans="1:11" s="49" customFormat="1">
      <c r="A285" s="200" t="s">
        <v>599</v>
      </c>
      <c r="E285" s="618">
        <v>19</v>
      </c>
      <c r="F285" s="619" t="s">
        <v>79</v>
      </c>
    </row>
    <row r="286" spans="1:11" s="49" customFormat="1">
      <c r="A286" s="200" t="s">
        <v>603</v>
      </c>
      <c r="E286" s="618">
        <v>19</v>
      </c>
      <c r="F286" s="619" t="s">
        <v>79</v>
      </c>
    </row>
    <row r="287" spans="1:11" s="49" customFormat="1">
      <c r="A287" s="200" t="s">
        <v>601</v>
      </c>
      <c r="B287" s="200" t="s">
        <v>602</v>
      </c>
      <c r="E287" s="618">
        <v>19</v>
      </c>
      <c r="F287" s="619" t="s">
        <v>79</v>
      </c>
    </row>
    <row r="288" spans="1:11" s="49" customFormat="1">
      <c r="A288" s="200" t="s">
        <v>604</v>
      </c>
      <c r="B288" s="200" t="s">
        <v>605</v>
      </c>
      <c r="E288" s="618">
        <v>19</v>
      </c>
      <c r="F288" s="619" t="s">
        <v>79</v>
      </c>
    </row>
    <row r="289" spans="1:6" s="49" customFormat="1">
      <c r="A289" s="200" t="s">
        <v>606</v>
      </c>
      <c r="B289" s="200" t="s">
        <v>607</v>
      </c>
      <c r="E289" s="618">
        <v>19</v>
      </c>
      <c r="F289" s="619" t="s">
        <v>79</v>
      </c>
    </row>
    <row r="290" spans="1:6" s="49" customFormat="1">
      <c r="A290" s="200" t="s">
        <v>608</v>
      </c>
      <c r="E290" s="618">
        <v>19</v>
      </c>
      <c r="F290" s="619" t="s">
        <v>79</v>
      </c>
    </row>
    <row r="291" spans="1:6" s="49" customFormat="1">
      <c r="A291" s="200" t="s">
        <v>609</v>
      </c>
      <c r="B291" s="200" t="s">
        <v>610</v>
      </c>
      <c r="E291" s="627">
        <v>21</v>
      </c>
      <c r="F291" s="619" t="s">
        <v>900</v>
      </c>
    </row>
    <row r="292" spans="1:6" s="49" customFormat="1"/>
    <row r="293" spans="1:6" s="49" customFormat="1"/>
    <row r="294" spans="1:6" s="49" customFormat="1"/>
    <row r="295" spans="1:6" s="49" customFormat="1"/>
    <row r="296" spans="1:6" s="49" customFormat="1"/>
    <row r="297" spans="1:6" s="49" customFormat="1"/>
    <row r="298" spans="1:6" s="49" customFormat="1"/>
    <row r="299" spans="1:6" s="49" customFormat="1"/>
    <row r="300" spans="1:6" s="49" customFormat="1"/>
    <row r="301" spans="1:6" s="49" customFormat="1"/>
    <row r="302" spans="1:6" s="49" customFormat="1"/>
    <row r="303" spans="1:6" s="49" customFormat="1"/>
    <row r="304" spans="1:6" s="49" customFormat="1"/>
    <row r="305" spans="1:7" s="49" customFormat="1"/>
    <row r="306" spans="1:7" s="49" customFormat="1"/>
    <row r="307" spans="1:7" s="49" customFormat="1"/>
    <row r="308" spans="1:7" s="49" customFormat="1"/>
    <row r="309" spans="1:7" s="49" customFormat="1"/>
    <row r="310" spans="1:7" s="49" customFormat="1"/>
    <row r="311" spans="1:7" s="49" customFormat="1"/>
    <row r="312" spans="1:7" s="49" customFormat="1"/>
    <row r="313" spans="1:7" s="49" customFormat="1"/>
    <row r="314" spans="1:7" s="49" customFormat="1"/>
    <row r="315" spans="1:7" s="49" customFormat="1"/>
    <row r="316" spans="1:7" s="49" customFormat="1"/>
    <row r="317" spans="1:7" s="49" customFormat="1"/>
    <row r="318" spans="1:7" s="49" customFormat="1"/>
    <row r="319" spans="1:7" s="49" customFormat="1">
      <c r="A319" s="94" t="s">
        <v>1085</v>
      </c>
      <c r="C319" s="49" t="s">
        <v>1026</v>
      </c>
      <c r="F319" s="49" t="s">
        <v>69</v>
      </c>
    </row>
    <row r="320" spans="1:7" s="49" customFormat="1">
      <c r="A320" s="153" t="s">
        <v>65</v>
      </c>
      <c r="B320" s="153" t="s">
        <v>763</v>
      </c>
      <c r="C320" s="153" t="s">
        <v>86</v>
      </c>
      <c r="D320" s="153" t="s">
        <v>87</v>
      </c>
      <c r="E320" s="153" t="s">
        <v>84</v>
      </c>
      <c r="F320" s="153" t="s">
        <v>85</v>
      </c>
      <c r="G320" s="153" t="s">
        <v>83</v>
      </c>
    </row>
    <row r="321" spans="1:7" s="49" customFormat="1">
      <c r="A321" s="184">
        <v>5</v>
      </c>
      <c r="B321" s="195">
        <f t="shared" ref="B321:G333" si="18">IF(($A321*LOOKUP(B$103,$C$43:$C$60,$D$43:$D$60))&lt;=LOOKUP(B$104,$M$43:$M$49,$O$43:$O$49),($C$13*B$108+$E$13*POWER(($A321*LOOKUP(B$103,$C$43:$C$60,$D$43:$D$60)),$G$13))/(B$108+POWER(($A321*LOOKUP(B$103,$C$43:$C$60,$D$43:$D$60)),$G$13)),IF(($A321*LOOKUP(B$103,$C$43:$C$60,$D$43:$D$60))&gt;LOOKUP(B$105,$A$81:$A$85,$B$81:$B$85),$C$26-$E$26*EXP(-B$109*POWER(($A321*LOOKUP(B$103,$C$43:$C$60,$D$43:$D$60)),$G$26)),1))</f>
        <v>0.18768445578067314</v>
      </c>
      <c r="C321" s="195">
        <f t="shared" si="18"/>
        <v>0.44371841214357388</v>
      </c>
      <c r="D321" s="195">
        <f t="shared" si="18"/>
        <v>0.44643630951553026</v>
      </c>
      <c r="E321" s="195">
        <f t="shared" si="18"/>
        <v>0.44371841214357388</v>
      </c>
      <c r="F321" s="195">
        <f t="shared" si="18"/>
        <v>0.44643630951553026</v>
      </c>
      <c r="G321" s="195">
        <f t="shared" si="18"/>
        <v>0.44693405396527125</v>
      </c>
    </row>
    <row r="322" spans="1:7" s="49" customFormat="1">
      <c r="A322" s="184">
        <v>10</v>
      </c>
      <c r="B322" s="195">
        <f t="shared" si="18"/>
        <v>0.65833167143619264</v>
      </c>
      <c r="C322" s="195">
        <f t="shared" si="18"/>
        <v>0.86931727255086955</v>
      </c>
      <c r="D322" s="195">
        <f t="shared" si="18"/>
        <v>0.87056236420092592</v>
      </c>
      <c r="E322" s="195">
        <f t="shared" si="18"/>
        <v>0.86931727255086955</v>
      </c>
      <c r="F322" s="195">
        <f t="shared" si="18"/>
        <v>0.87056236420092592</v>
      </c>
      <c r="G322" s="195">
        <f t="shared" si="18"/>
        <v>0.87078912779319029</v>
      </c>
    </row>
    <row r="323" spans="1:7" s="49" customFormat="1">
      <c r="A323" s="184">
        <v>15</v>
      </c>
      <c r="B323" s="195">
        <f t="shared" si="18"/>
        <v>0.86950489144282905</v>
      </c>
      <c r="C323" s="195">
        <f t="shared" si="18"/>
        <v>0.95833987059700765</v>
      </c>
      <c r="D323" s="195">
        <f t="shared" si="18"/>
        <v>0.95877701195241793</v>
      </c>
      <c r="E323" s="195">
        <f t="shared" si="18"/>
        <v>0.95833987059700765</v>
      </c>
      <c r="F323" s="195">
        <f t="shared" si="18"/>
        <v>0.95877701195241793</v>
      </c>
      <c r="G323" s="195">
        <f t="shared" si="18"/>
        <v>0.95885653504901347</v>
      </c>
    </row>
    <row r="324" spans="1:7" s="49" customFormat="1">
      <c r="A324" s="184">
        <v>20</v>
      </c>
      <c r="B324" s="195">
        <f t="shared" si="18"/>
        <v>0.94141440287332345</v>
      </c>
      <c r="C324" s="195">
        <f t="shared" si="18"/>
        <v>0.98229361323896403</v>
      </c>
      <c r="D324" s="195">
        <f t="shared" si="18"/>
        <v>0.98248400107674205</v>
      </c>
      <c r="E324" s="195">
        <f t="shared" si="18"/>
        <v>0.98229361323896403</v>
      </c>
      <c r="F324" s="195">
        <f t="shared" si="18"/>
        <v>0.98248400107674205</v>
      </c>
      <c r="G324" s="195">
        <f t="shared" si="18"/>
        <v>0.9825186249767226</v>
      </c>
    </row>
    <row r="325" spans="1:7" s="49" customFormat="1">
      <c r="A325" s="184">
        <v>30</v>
      </c>
      <c r="B325" s="195">
        <f t="shared" si="18"/>
        <v>0.98232233234001509</v>
      </c>
      <c r="C325" s="195">
        <f t="shared" si="18"/>
        <v>1</v>
      </c>
      <c r="D325" s="195">
        <f t="shared" si="18"/>
        <v>1</v>
      </c>
      <c r="E325" s="195">
        <f t="shared" si="18"/>
        <v>1</v>
      </c>
      <c r="F325" s="195">
        <f t="shared" si="18"/>
        <v>1</v>
      </c>
      <c r="G325" s="195">
        <f t="shared" si="18"/>
        <v>1</v>
      </c>
    </row>
    <row r="326" spans="1:7" s="49" customFormat="1">
      <c r="A326" s="184">
        <v>50</v>
      </c>
      <c r="B326" s="195">
        <f t="shared" si="18"/>
        <v>1</v>
      </c>
      <c r="C326" s="195">
        <f t="shared" si="18"/>
        <v>1</v>
      </c>
      <c r="D326" s="195">
        <f t="shared" si="18"/>
        <v>1</v>
      </c>
      <c r="E326" s="195">
        <f t="shared" si="18"/>
        <v>1</v>
      </c>
      <c r="F326" s="195">
        <f t="shared" si="18"/>
        <v>1</v>
      </c>
      <c r="G326" s="195">
        <f t="shared" si="18"/>
        <v>1</v>
      </c>
    </row>
    <row r="327" spans="1:7" s="49" customFormat="1">
      <c r="A327" s="184">
        <v>60</v>
      </c>
      <c r="B327" s="195">
        <f t="shared" si="18"/>
        <v>1</v>
      </c>
      <c r="C327" s="195">
        <f t="shared" si="18"/>
        <v>1</v>
      </c>
      <c r="D327" s="195">
        <f t="shared" si="18"/>
        <v>1</v>
      </c>
      <c r="E327" s="195">
        <f t="shared" si="18"/>
        <v>1</v>
      </c>
      <c r="F327" s="195">
        <f t="shared" si="18"/>
        <v>1</v>
      </c>
      <c r="G327" s="195">
        <f t="shared" si="18"/>
        <v>1</v>
      </c>
    </row>
    <row r="328" spans="1:7" s="49" customFormat="1">
      <c r="A328" s="184">
        <v>90</v>
      </c>
      <c r="B328" s="195">
        <f t="shared" si="18"/>
        <v>1</v>
      </c>
      <c r="C328" s="195">
        <f t="shared" si="18"/>
        <v>1</v>
      </c>
      <c r="D328" s="195">
        <f t="shared" si="18"/>
        <v>1</v>
      </c>
      <c r="E328" s="195">
        <f t="shared" si="18"/>
        <v>0.99114512213623684</v>
      </c>
      <c r="F328" s="195">
        <f t="shared" si="18"/>
        <v>0.86198143138122674</v>
      </c>
      <c r="G328" s="195">
        <f t="shared" si="18"/>
        <v>1</v>
      </c>
    </row>
    <row r="329" spans="1:7" s="49" customFormat="1">
      <c r="A329" s="184">
        <v>120</v>
      </c>
      <c r="B329" s="195">
        <f t="shared" si="18"/>
        <v>1</v>
      </c>
      <c r="C329" s="195">
        <f t="shared" si="18"/>
        <v>1</v>
      </c>
      <c r="D329" s="195">
        <f t="shared" si="18"/>
        <v>1</v>
      </c>
      <c r="E329" s="195">
        <f t="shared" si="18"/>
        <v>0.86477073941370697</v>
      </c>
      <c r="F329" s="195">
        <f t="shared" si="18"/>
        <v>0.36613710585529746</v>
      </c>
      <c r="G329" s="195">
        <f t="shared" si="18"/>
        <v>1</v>
      </c>
    </row>
    <row r="330" spans="1:7" s="49" customFormat="1">
      <c r="A330" s="184">
        <v>150</v>
      </c>
      <c r="B330" s="195">
        <f t="shared" si="18"/>
        <v>1</v>
      </c>
      <c r="C330" s="195">
        <f t="shared" si="18"/>
        <v>0.98593298527208451</v>
      </c>
      <c r="D330" s="195">
        <f t="shared" si="18"/>
        <v>0.9840886502432159</v>
      </c>
      <c r="E330" s="195">
        <f t="shared" si="18"/>
        <v>0.52242483332744949</v>
      </c>
      <c r="F330" s="195">
        <f t="shared" si="18"/>
        <v>-0.28361125275787336</v>
      </c>
      <c r="G330" s="195">
        <f t="shared" si="18"/>
        <v>1</v>
      </c>
    </row>
    <row r="331" spans="1:7" s="49" customFormat="1">
      <c r="A331" s="184">
        <v>180</v>
      </c>
      <c r="B331" s="195">
        <f t="shared" si="18"/>
        <v>0.85898451418883459</v>
      </c>
      <c r="C331" s="195">
        <f t="shared" si="18"/>
        <v>0.91803624640568571</v>
      </c>
      <c r="D331" s="195">
        <f t="shared" si="18"/>
        <v>0.91071507365033366</v>
      </c>
      <c r="E331" s="195">
        <f t="shared" si="18"/>
        <v>5.2225479514469653E-2</v>
      </c>
      <c r="F331" s="195">
        <f t="shared" si="18"/>
        <v>-0.88318837719154009</v>
      </c>
      <c r="G331" s="195">
        <f t="shared" si="18"/>
        <v>0.96191829777060323</v>
      </c>
    </row>
    <row r="332" spans="1:7" s="49" customFormat="1">
      <c r="A332" s="252">
        <v>210</v>
      </c>
      <c r="B332" s="195">
        <f t="shared" si="18"/>
        <v>0.64659490082600479</v>
      </c>
      <c r="C332" s="195">
        <f t="shared" si="18"/>
        <v>0.7627829528249831</v>
      </c>
      <c r="D332" s="195">
        <f t="shared" si="18"/>
        <v>0.74739356724639827</v>
      </c>
      <c r="E332" s="195">
        <f t="shared" si="18"/>
        <v>-0.4328034108811234</v>
      </c>
      <c r="F332" s="195">
        <f t="shared" si="18"/>
        <v>-1.3728159081937186</v>
      </c>
      <c r="G332" s="195">
        <f t="shared" si="18"/>
        <v>0.86492895088643595</v>
      </c>
    </row>
    <row r="333" spans="1:7" s="49" customFormat="1">
      <c r="A333" s="253">
        <v>300</v>
      </c>
      <c r="B333" s="254">
        <f t="shared" si="18"/>
        <v>-0.29357632840878267</v>
      </c>
      <c r="C333" s="254">
        <f t="shared" si="18"/>
        <v>-6.4044695170381027E-2</v>
      </c>
      <c r="D333" s="254">
        <f t="shared" si="18"/>
        <v>-9.7327191169360949E-2</v>
      </c>
      <c r="E333" s="254">
        <f t="shared" si="18"/>
        <v>-1.5684423328736701</v>
      </c>
      <c r="F333" s="254">
        <f t="shared" si="18"/>
        <v>-2.2886508239900176</v>
      </c>
      <c r="G333" s="254">
        <f t="shared" si="18"/>
        <v>0.19255324067164126</v>
      </c>
    </row>
    <row r="334" spans="1:7" s="49" customFormat="1">
      <c r="A334" s="249" t="s">
        <v>82</v>
      </c>
      <c r="B334" s="245">
        <v>2.1</v>
      </c>
      <c r="C334" s="245">
        <v>2.1</v>
      </c>
      <c r="D334" s="245">
        <v>2.1</v>
      </c>
      <c r="E334" s="245">
        <v>2.1</v>
      </c>
      <c r="F334" s="245">
        <v>1.1000000000000001</v>
      </c>
      <c r="G334" s="245">
        <v>1.1000000000000001</v>
      </c>
    </row>
    <row r="335" spans="1:7" s="49" customFormat="1">
      <c r="A335" s="250" t="s">
        <v>76</v>
      </c>
      <c r="B335" s="244">
        <v>6</v>
      </c>
      <c r="C335" s="245">
        <v>5</v>
      </c>
      <c r="D335" s="245">
        <v>5</v>
      </c>
      <c r="E335" s="245">
        <v>5</v>
      </c>
      <c r="F335" s="245">
        <v>5</v>
      </c>
      <c r="G335" s="245">
        <v>5</v>
      </c>
    </row>
    <row r="336" spans="1:7" s="49" customFormat="1">
      <c r="A336" s="251" t="s">
        <v>67</v>
      </c>
      <c r="B336" s="246">
        <v>1</v>
      </c>
      <c r="C336" s="246">
        <v>1</v>
      </c>
      <c r="D336" s="246">
        <v>1</v>
      </c>
      <c r="E336" s="246">
        <v>5</v>
      </c>
      <c r="F336" s="246">
        <v>5</v>
      </c>
      <c r="G336" s="246">
        <v>5</v>
      </c>
    </row>
    <row r="337" spans="1:7" s="49" customFormat="1">
      <c r="A337" s="251" t="s">
        <v>77</v>
      </c>
      <c r="B337" s="246">
        <v>2.8</v>
      </c>
      <c r="C337" s="246">
        <v>2.8</v>
      </c>
      <c r="D337" s="246">
        <v>2.8</v>
      </c>
      <c r="E337" s="246">
        <v>2.8</v>
      </c>
      <c r="F337" s="246">
        <v>0.6</v>
      </c>
      <c r="G337" s="246">
        <v>6</v>
      </c>
    </row>
    <row r="338" spans="1:7" s="49" customFormat="1">
      <c r="A338" s="251" t="s">
        <v>68</v>
      </c>
      <c r="B338" s="246">
        <v>2</v>
      </c>
      <c r="C338" s="246">
        <v>2</v>
      </c>
      <c r="D338" s="246">
        <v>5</v>
      </c>
      <c r="E338" s="246">
        <v>5</v>
      </c>
      <c r="F338" s="246">
        <v>5</v>
      </c>
      <c r="G338" s="246">
        <v>5</v>
      </c>
    </row>
    <row r="339" spans="1:7" s="49" customFormat="1">
      <c r="A339" s="76" t="s">
        <v>863</v>
      </c>
      <c r="B339" s="521">
        <f t="shared" ref="B339:E340" si="19">B108</f>
        <v>595.88997126288007</v>
      </c>
      <c r="C339" s="521">
        <f t="shared" si="19"/>
        <v>172.60147484608001</v>
      </c>
      <c r="D339" s="521">
        <f t="shared" si="19"/>
        <v>170.712490572288</v>
      </c>
      <c r="E339" s="521">
        <f t="shared" si="19"/>
        <v>172.60147484608001</v>
      </c>
      <c r="F339" s="521">
        <f>F108</f>
        <v>170.712490572288</v>
      </c>
      <c r="G339" s="521">
        <f>G108</f>
        <v>170.36903888614401</v>
      </c>
    </row>
    <row r="340" spans="1:7" s="49" customFormat="1">
      <c r="A340" s="76" t="s">
        <v>864</v>
      </c>
      <c r="B340" s="521">
        <f t="shared" si="19"/>
        <v>112200</v>
      </c>
      <c r="C340" s="521">
        <f t="shared" si="19"/>
        <v>129779.99999999999</v>
      </c>
      <c r="D340" s="521">
        <f t="shared" si="19"/>
        <v>127007.99999999999</v>
      </c>
      <c r="E340" s="521">
        <f t="shared" si="19"/>
        <v>50470</v>
      </c>
      <c r="F340" s="521">
        <f>F109</f>
        <v>28224</v>
      </c>
      <c r="G340" s="521">
        <f>G109</f>
        <v>154616</v>
      </c>
    </row>
    <row r="341" spans="1:7" s="49" customFormat="1"/>
    <row r="342" spans="1:7" s="49" customFormat="1"/>
    <row r="343" spans="1:7" s="49" customFormat="1"/>
    <row r="344" spans="1:7" s="49" customFormat="1"/>
    <row r="345" spans="1:7" s="49" customFormat="1"/>
    <row r="346" spans="1:7" s="49" customFormat="1"/>
    <row r="347" spans="1:7" s="49" customFormat="1"/>
    <row r="348" spans="1:7" s="49" customFormat="1"/>
    <row r="349" spans="1:7" s="49" customFormat="1"/>
    <row r="350" spans="1:7" s="49" customFormat="1"/>
    <row r="351" spans="1:7" s="49" customFormat="1"/>
    <row r="352" spans="1:7" s="49" customFormat="1"/>
    <row r="353" s="49" customFormat="1"/>
    <row r="354" s="49" customFormat="1"/>
    <row r="355" s="49" customFormat="1"/>
    <row r="356" s="49" customFormat="1"/>
    <row r="357" s="49" customFormat="1"/>
    <row r="358" s="49" customFormat="1"/>
    <row r="359" s="49" customFormat="1"/>
    <row r="360" s="49" customFormat="1"/>
    <row r="361" s="49" customFormat="1"/>
    <row r="362" s="49" customFormat="1"/>
    <row r="363" s="49" customFormat="1"/>
    <row r="364" s="49" customFormat="1"/>
    <row r="365" s="49" customFormat="1"/>
    <row r="366" s="49" customFormat="1"/>
    <row r="367" s="49" customFormat="1"/>
    <row r="368" s="49" customFormat="1"/>
    <row r="369" s="49" customFormat="1"/>
    <row r="370" s="49" customFormat="1"/>
    <row r="371" s="49" customFormat="1"/>
    <row r="372" s="49" customFormat="1"/>
    <row r="373" s="49" customFormat="1"/>
    <row r="374" s="49" customFormat="1"/>
    <row r="375" s="49" customFormat="1"/>
    <row r="376" s="49" customFormat="1"/>
    <row r="377" s="49" customFormat="1"/>
    <row r="378" s="49" customFormat="1"/>
    <row r="379" s="49" customFormat="1"/>
    <row r="380" s="49" customFormat="1"/>
    <row r="381" s="49" customFormat="1"/>
    <row r="382" s="49" customFormat="1"/>
    <row r="383" s="49" customFormat="1"/>
    <row r="384" s="49" customFormat="1"/>
    <row r="385" s="49" customFormat="1"/>
    <row r="386" s="49" customFormat="1"/>
    <row r="387" s="49" customFormat="1"/>
    <row r="388" s="49" customFormat="1"/>
    <row r="389" s="49" customFormat="1"/>
    <row r="390" s="49" customFormat="1"/>
    <row r="391" s="49" customFormat="1"/>
    <row r="392" s="49" customFormat="1"/>
    <row r="393" s="49" customFormat="1"/>
    <row r="394" s="49" customFormat="1"/>
    <row r="395" s="49" customFormat="1"/>
    <row r="396" s="49" customFormat="1"/>
    <row r="397" s="49" customFormat="1"/>
    <row r="398" s="49" customFormat="1"/>
    <row r="399" s="49" customFormat="1"/>
    <row r="400" s="49" customFormat="1"/>
    <row r="401" s="49" customFormat="1"/>
    <row r="402" s="49" customFormat="1"/>
    <row r="403" s="49" customFormat="1"/>
    <row r="404" s="49" customFormat="1"/>
    <row r="405" s="49" customFormat="1"/>
    <row r="406" s="49" customFormat="1"/>
    <row r="407" s="49" customFormat="1"/>
    <row r="408" s="49" customFormat="1"/>
    <row r="409" s="49" customFormat="1"/>
    <row r="410" s="49" customFormat="1"/>
    <row r="411" s="49" customFormat="1"/>
    <row r="412" s="49" customFormat="1"/>
    <row r="413" s="49" customFormat="1"/>
    <row r="414" s="49" customFormat="1"/>
    <row r="415" s="49" customFormat="1"/>
    <row r="416" s="49" customFormat="1"/>
    <row r="417" s="49" customFormat="1"/>
    <row r="418" s="49" customFormat="1"/>
    <row r="419" s="49" customFormat="1"/>
    <row r="420" s="49" customFormat="1"/>
    <row r="421" s="49" customFormat="1"/>
    <row r="422" s="49" customFormat="1"/>
    <row r="423" s="49" customFormat="1"/>
    <row r="424" s="49" customFormat="1"/>
    <row r="425" s="49" customFormat="1"/>
    <row r="426" s="49" customFormat="1"/>
    <row r="427" s="49" customFormat="1"/>
    <row r="428" s="49" customFormat="1"/>
    <row r="429" s="49" customFormat="1"/>
    <row r="430" s="49" customFormat="1"/>
    <row r="431" s="49" customFormat="1"/>
    <row r="432" s="49" customFormat="1"/>
    <row r="433" s="49" customFormat="1"/>
    <row r="434" s="49" customFormat="1"/>
    <row r="435" s="49" customFormat="1"/>
    <row r="436" s="49" customFormat="1"/>
    <row r="437" s="49" customFormat="1"/>
    <row r="438" s="49" customFormat="1"/>
    <row r="439" s="49" customFormat="1"/>
    <row r="440" s="49" customFormat="1"/>
    <row r="441" s="49" customFormat="1"/>
    <row r="442" s="49" customFormat="1"/>
    <row r="443" s="49" customFormat="1"/>
    <row r="444" s="49" customFormat="1"/>
    <row r="445" s="49" customFormat="1"/>
    <row r="446" s="49" customFormat="1"/>
    <row r="447" s="49" customFormat="1"/>
    <row r="448" s="49" customFormat="1"/>
    <row r="449" s="49" customFormat="1"/>
    <row r="450" s="49" customFormat="1"/>
    <row r="451" s="49" customFormat="1"/>
    <row r="452" s="49" customFormat="1"/>
    <row r="453" s="49" customFormat="1"/>
    <row r="454" s="49" customFormat="1"/>
    <row r="455" s="49" customFormat="1"/>
    <row r="456" s="49" customFormat="1"/>
    <row r="457" s="49" customFormat="1"/>
    <row r="458" s="49" customFormat="1"/>
    <row r="459" s="49" customFormat="1"/>
    <row r="460" s="49" customFormat="1"/>
    <row r="461" s="49" customFormat="1"/>
    <row r="462" s="49" customFormat="1"/>
    <row r="463" s="49" customFormat="1"/>
    <row r="464" s="49" customFormat="1"/>
    <row r="465" s="49" customFormat="1"/>
    <row r="466" s="49" customFormat="1"/>
    <row r="467" s="49" customFormat="1"/>
    <row r="468" s="49" customFormat="1"/>
    <row r="469" s="49" customFormat="1"/>
    <row r="470" s="49" customFormat="1"/>
    <row r="471" s="49" customFormat="1"/>
    <row r="472" s="49" customFormat="1"/>
    <row r="473" s="49" customFormat="1"/>
    <row r="474" s="49" customFormat="1"/>
    <row r="475" s="49" customFormat="1"/>
    <row r="476" s="49" customFormat="1"/>
    <row r="477" s="49" customFormat="1"/>
    <row r="478" s="49" customFormat="1"/>
    <row r="479" s="49" customFormat="1"/>
    <row r="480" s="49" customFormat="1"/>
    <row r="481" s="49" customFormat="1"/>
    <row r="482" s="49" customFormat="1"/>
    <row r="483" s="49" customFormat="1"/>
    <row r="484" s="49" customFormat="1"/>
    <row r="485" s="49" customFormat="1"/>
    <row r="486" s="49" customFormat="1"/>
    <row r="487" s="49" customFormat="1"/>
    <row r="488" s="49" customFormat="1"/>
    <row r="489" s="49" customFormat="1"/>
    <row r="490" s="49" customFormat="1"/>
    <row r="491" s="49" customFormat="1"/>
    <row r="492" s="49" customFormat="1"/>
    <row r="493" s="49" customFormat="1"/>
    <row r="494" s="49" customFormat="1"/>
    <row r="495" s="49" customFormat="1"/>
    <row r="496" s="49" customFormat="1"/>
    <row r="497" s="49" customFormat="1"/>
    <row r="498" s="49" customFormat="1"/>
    <row r="499" s="49" customFormat="1"/>
    <row r="500" s="49" customFormat="1"/>
    <row r="501" s="49" customFormat="1"/>
    <row r="502" s="49" customFormat="1"/>
    <row r="503" s="49" customFormat="1"/>
    <row r="504" s="49" customFormat="1"/>
    <row r="505" s="49" customFormat="1"/>
    <row r="506" s="49" customFormat="1"/>
    <row r="507" s="49" customFormat="1"/>
    <row r="508" s="49" customFormat="1"/>
    <row r="509" s="49" customFormat="1"/>
    <row r="510" s="49" customFormat="1"/>
    <row r="511" s="49" customFormat="1"/>
    <row r="512" s="49" customFormat="1"/>
    <row r="513" s="49" customFormat="1"/>
    <row r="514" s="49" customFormat="1"/>
    <row r="515" s="49" customFormat="1"/>
    <row r="516" s="49" customFormat="1"/>
    <row r="517" s="49" customFormat="1"/>
    <row r="518" s="49" customFormat="1"/>
    <row r="519" s="49" customFormat="1"/>
    <row r="520" s="49" customFormat="1"/>
    <row r="521" s="49" customFormat="1"/>
    <row r="522" s="49" customFormat="1"/>
    <row r="523" s="49" customFormat="1"/>
    <row r="524" s="49" customFormat="1"/>
    <row r="525" s="49" customFormat="1"/>
    <row r="526" s="49" customFormat="1"/>
    <row r="527" s="49" customFormat="1"/>
    <row r="528" s="49" customFormat="1"/>
    <row r="529" s="49" customFormat="1"/>
    <row r="530" s="49" customFormat="1"/>
    <row r="531" s="49" customFormat="1"/>
    <row r="532" s="49" customFormat="1"/>
    <row r="533" s="49" customFormat="1"/>
    <row r="534" s="49" customFormat="1"/>
    <row r="535" s="49" customFormat="1"/>
    <row r="536" s="49" customFormat="1"/>
    <row r="537" s="49" customFormat="1"/>
    <row r="538" s="49" customFormat="1"/>
    <row r="539" s="49" customFormat="1"/>
    <row r="540" s="49" customFormat="1"/>
    <row r="541" s="49" customFormat="1"/>
    <row r="542" s="49" customFormat="1"/>
    <row r="543" s="49" customFormat="1"/>
    <row r="544" s="49" customFormat="1"/>
    <row r="545" s="49" customFormat="1"/>
    <row r="546" s="49" customFormat="1"/>
    <row r="547" s="49" customFormat="1"/>
    <row r="548" s="49" customFormat="1"/>
    <row r="549" s="49" customFormat="1"/>
    <row r="550" s="49" customFormat="1"/>
    <row r="551" s="49" customFormat="1"/>
    <row r="552" s="49" customFormat="1"/>
    <row r="553" s="49" customFormat="1"/>
    <row r="554" s="49" customFormat="1"/>
    <row r="555" s="49" customFormat="1"/>
    <row r="556" s="49" customFormat="1"/>
    <row r="557" s="49" customFormat="1"/>
    <row r="558" s="49" customFormat="1"/>
    <row r="559" s="49" customFormat="1"/>
    <row r="560" s="49" customFormat="1"/>
    <row r="561" s="49" customFormat="1"/>
    <row r="562" s="49" customFormat="1"/>
    <row r="563" s="49" customFormat="1"/>
    <row r="564" s="49" customFormat="1"/>
    <row r="565" s="49" customFormat="1"/>
    <row r="566" s="49" customFormat="1"/>
    <row r="567" s="49" customFormat="1"/>
    <row r="568" s="49" customFormat="1"/>
    <row r="569" s="49" customFormat="1"/>
    <row r="570" s="49" customFormat="1"/>
    <row r="571" s="49" customFormat="1"/>
    <row r="572" s="49" customFormat="1"/>
    <row r="573" s="49" customFormat="1"/>
    <row r="574" s="49" customFormat="1"/>
    <row r="575" s="49" customFormat="1"/>
    <row r="576" s="49" customFormat="1"/>
    <row r="577" s="49" customFormat="1"/>
    <row r="578" s="49" customFormat="1"/>
    <row r="579" s="49" customFormat="1"/>
    <row r="580" s="49" customFormat="1"/>
    <row r="581" s="49" customFormat="1"/>
    <row r="582" s="49" customFormat="1"/>
    <row r="583" s="49" customFormat="1"/>
    <row r="584" s="49" customFormat="1"/>
    <row r="585" s="49" customFormat="1"/>
    <row r="586" s="49" customFormat="1"/>
    <row r="587" s="49" customFormat="1"/>
    <row r="588" s="49" customFormat="1"/>
    <row r="589" s="49" customFormat="1"/>
    <row r="590" s="49" customFormat="1"/>
    <row r="591" s="49" customFormat="1"/>
    <row r="592" s="49" customFormat="1"/>
    <row r="593" s="49" customFormat="1"/>
    <row r="594" s="49" customFormat="1"/>
    <row r="595" s="49" customFormat="1"/>
    <row r="596" s="49" customFormat="1"/>
    <row r="597" s="49" customFormat="1"/>
    <row r="598" s="49" customFormat="1"/>
    <row r="599" s="49" customFormat="1"/>
    <row r="600" s="49" customFormat="1"/>
    <row r="601" s="49" customFormat="1"/>
    <row r="602" s="49" customFormat="1"/>
    <row r="603" s="49" customFormat="1"/>
    <row r="604" s="49" customFormat="1"/>
    <row r="605" s="49" customFormat="1"/>
    <row r="606" s="49" customFormat="1"/>
    <row r="607" s="49" customFormat="1"/>
    <row r="608" s="49" customFormat="1"/>
    <row r="609" s="49" customFormat="1"/>
    <row r="610" s="49" customFormat="1"/>
    <row r="611" s="49" customFormat="1"/>
    <row r="612" s="49" customFormat="1"/>
    <row r="613" s="49" customFormat="1"/>
    <row r="614" s="49" customFormat="1"/>
    <row r="615" s="49" customFormat="1"/>
    <row r="616" s="49" customFormat="1"/>
    <row r="617" s="49" customFormat="1"/>
    <row r="618" s="49" customFormat="1"/>
    <row r="619" s="49" customFormat="1"/>
    <row r="620" s="49" customFormat="1"/>
    <row r="621" s="49" customFormat="1"/>
    <row r="622" s="49" customFormat="1"/>
    <row r="623" s="49" customFormat="1"/>
    <row r="624" s="49" customFormat="1"/>
    <row r="625" s="49" customFormat="1"/>
    <row r="626" s="49" customFormat="1"/>
    <row r="627" s="49" customFormat="1"/>
    <row r="628" s="49" customFormat="1"/>
    <row r="629" s="49" customFormat="1"/>
    <row r="630" s="49" customFormat="1"/>
    <row r="631" s="49" customFormat="1"/>
    <row r="632" s="49" customFormat="1"/>
    <row r="633" s="49" customFormat="1"/>
    <row r="634" s="49" customFormat="1"/>
    <row r="635" s="49" customFormat="1"/>
    <row r="636" s="49" customFormat="1"/>
    <row r="637" s="49" customFormat="1"/>
    <row r="638" s="49" customFormat="1"/>
    <row r="639" s="49" customFormat="1"/>
    <row r="640" s="49" customFormat="1"/>
    <row r="641" s="49" customFormat="1"/>
    <row r="642" s="49" customFormat="1"/>
    <row r="643" s="49" customFormat="1"/>
    <row r="644" s="49" customFormat="1"/>
    <row r="645" s="49" customFormat="1"/>
    <row r="646" s="49" customFormat="1"/>
    <row r="647" s="49" customFormat="1"/>
    <row r="648" s="49" customFormat="1"/>
    <row r="649" s="49" customFormat="1"/>
    <row r="650" s="49" customFormat="1"/>
    <row r="651" s="49" customFormat="1"/>
    <row r="652" s="49" customFormat="1"/>
    <row r="653" s="49" customFormat="1"/>
    <row r="654" s="49" customFormat="1"/>
    <row r="655" s="49" customFormat="1"/>
    <row r="656" s="49" customFormat="1"/>
    <row r="657" s="49" customFormat="1"/>
    <row r="658" s="49" customFormat="1"/>
    <row r="659" s="49" customFormat="1"/>
    <row r="660" s="49" customFormat="1"/>
    <row r="661" s="49" customFormat="1"/>
    <row r="662" s="49" customFormat="1"/>
    <row r="663" s="49" customFormat="1"/>
    <row r="664" s="49" customFormat="1"/>
    <row r="665" s="49" customFormat="1"/>
    <row r="666" s="49" customFormat="1"/>
    <row r="667" s="49" customFormat="1"/>
    <row r="668" s="49" customFormat="1"/>
    <row r="669" s="49" customFormat="1"/>
    <row r="670" s="49" customFormat="1"/>
    <row r="671" s="49" customFormat="1"/>
    <row r="672" s="49" customFormat="1"/>
    <row r="673" s="49" customFormat="1"/>
    <row r="674" s="49" customFormat="1"/>
    <row r="675" s="49" customFormat="1"/>
    <row r="676" s="49" customFormat="1"/>
    <row r="677" s="49" customFormat="1"/>
    <row r="678" s="49" customFormat="1"/>
    <row r="679" s="49" customFormat="1"/>
    <row r="680" s="49" customFormat="1"/>
    <row r="681" s="49" customFormat="1"/>
    <row r="682" s="49" customFormat="1"/>
    <row r="683" s="49" customFormat="1"/>
    <row r="684" s="49" customFormat="1"/>
    <row r="685" s="49" customFormat="1"/>
    <row r="686" s="49" customFormat="1"/>
    <row r="687" s="49" customFormat="1"/>
    <row r="688" s="49" customFormat="1"/>
    <row r="689" s="49" customFormat="1"/>
    <row r="690" s="49" customFormat="1"/>
    <row r="691" s="49" customFormat="1"/>
    <row r="692" s="49" customFormat="1"/>
    <row r="693" s="49" customFormat="1"/>
    <row r="694" s="49" customFormat="1"/>
    <row r="695" s="49" customFormat="1"/>
    <row r="696" s="49" customFormat="1"/>
    <row r="697" s="49" customFormat="1"/>
    <row r="698" s="49" customFormat="1"/>
    <row r="699" s="49" customFormat="1"/>
    <row r="700" s="49" customFormat="1"/>
    <row r="701" s="49" customFormat="1"/>
    <row r="702" s="49" customFormat="1"/>
    <row r="703" s="49" customFormat="1"/>
    <row r="704" s="49" customFormat="1"/>
    <row r="705" s="49" customFormat="1"/>
    <row r="706" s="49" customFormat="1"/>
    <row r="707" s="49" customFormat="1"/>
    <row r="708" s="49" customFormat="1"/>
    <row r="709" s="49" customFormat="1"/>
    <row r="710" s="49" customFormat="1"/>
    <row r="711" s="49" customFormat="1"/>
    <row r="712" s="49" customFormat="1"/>
    <row r="713" s="49" customFormat="1"/>
    <row r="714" s="49" customFormat="1"/>
    <row r="715" s="49" customFormat="1"/>
    <row r="716" s="49" customFormat="1"/>
    <row r="717" s="49" customFormat="1"/>
    <row r="718" s="49" customFormat="1"/>
    <row r="719" s="49" customFormat="1"/>
    <row r="720" s="49" customFormat="1"/>
    <row r="721" s="49" customFormat="1"/>
    <row r="722" s="49" customFormat="1"/>
    <row r="723" s="49" customFormat="1"/>
    <row r="724" s="49" customFormat="1"/>
    <row r="725" s="49" customFormat="1"/>
    <row r="726" s="49" customFormat="1"/>
    <row r="727" s="49" customFormat="1"/>
    <row r="728" s="49" customFormat="1"/>
    <row r="729" s="49" customFormat="1"/>
    <row r="730" s="49" customFormat="1"/>
    <row r="731" s="49" customFormat="1"/>
    <row r="732" s="49" customFormat="1"/>
    <row r="733" s="49" customFormat="1"/>
    <row r="734" s="49" customFormat="1"/>
    <row r="735" s="49" customFormat="1"/>
    <row r="736" s="49" customFormat="1"/>
    <row r="737" s="49" customFormat="1"/>
    <row r="738" s="49" customFormat="1"/>
    <row r="739" s="49" customFormat="1"/>
    <row r="740" s="49" customFormat="1"/>
    <row r="741" s="49" customFormat="1"/>
    <row r="742" s="49" customFormat="1"/>
    <row r="743" s="49" customFormat="1"/>
    <row r="744" s="49" customFormat="1"/>
    <row r="745" s="49" customFormat="1"/>
    <row r="746" s="49" customFormat="1"/>
    <row r="747" s="49" customFormat="1"/>
    <row r="748" s="49" customFormat="1"/>
    <row r="749" s="49" customFormat="1"/>
    <row r="750" s="49" customFormat="1"/>
    <row r="751" s="49" customFormat="1"/>
    <row r="752" s="49" customFormat="1"/>
    <row r="753" s="49" customFormat="1"/>
    <row r="754" s="49" customFormat="1"/>
    <row r="755" s="49" customFormat="1"/>
    <row r="756" s="49" customFormat="1"/>
    <row r="757" s="49" customFormat="1"/>
    <row r="758" s="49" customFormat="1"/>
    <row r="759" s="49" customFormat="1"/>
    <row r="760" s="49" customFormat="1"/>
    <row r="761" s="49" customFormat="1"/>
    <row r="762" s="49" customFormat="1"/>
    <row r="763" s="49" customFormat="1"/>
    <row r="764" s="49" customFormat="1"/>
    <row r="765" s="49" customFormat="1"/>
    <row r="766" s="49" customFormat="1"/>
    <row r="767" s="49" customFormat="1"/>
    <row r="768" s="49" customFormat="1"/>
    <row r="769" s="49" customFormat="1"/>
    <row r="770" s="49" customFormat="1"/>
    <row r="771" s="49" customFormat="1"/>
    <row r="772" s="49" customFormat="1"/>
    <row r="773" s="49" customFormat="1"/>
    <row r="774" s="49" customFormat="1"/>
    <row r="775" s="49" customFormat="1"/>
    <row r="776" s="49" customFormat="1"/>
    <row r="777" s="49" customFormat="1"/>
    <row r="778" s="49" customFormat="1"/>
    <row r="779" s="49" customFormat="1"/>
    <row r="780" s="49" customFormat="1"/>
    <row r="781" s="49" customFormat="1"/>
    <row r="782" s="49" customFormat="1"/>
    <row r="783" s="49" customFormat="1"/>
    <row r="784" s="49" customFormat="1"/>
    <row r="785" s="49" customFormat="1"/>
    <row r="786" s="49" customFormat="1"/>
    <row r="787" s="49" customFormat="1"/>
    <row r="788" s="49" customFormat="1"/>
    <row r="789" s="49" customFormat="1"/>
    <row r="790" s="49" customFormat="1"/>
    <row r="791" s="49" customFormat="1"/>
    <row r="792" s="49" customFormat="1"/>
    <row r="793" s="49" customFormat="1"/>
    <row r="794" s="49" customFormat="1"/>
    <row r="795" s="49" customFormat="1"/>
    <row r="796" s="49" customFormat="1"/>
    <row r="797" s="49" customFormat="1"/>
    <row r="798" s="49" customFormat="1"/>
    <row r="799" s="49" customFormat="1"/>
    <row r="800" s="49" customFormat="1"/>
    <row r="801" s="49" customFormat="1"/>
    <row r="802" s="49" customFormat="1"/>
    <row r="803" s="49" customFormat="1"/>
    <row r="804" s="49" customFormat="1"/>
    <row r="805" s="49" customFormat="1"/>
    <row r="806" s="49" customFormat="1"/>
    <row r="807" s="49" customFormat="1"/>
    <row r="808" s="49" customFormat="1"/>
    <row r="809" s="49" customFormat="1"/>
    <row r="810" s="49" customFormat="1"/>
    <row r="811" s="49" customFormat="1"/>
    <row r="812" s="49" customFormat="1"/>
    <row r="813" s="49" customFormat="1"/>
    <row r="814" s="49" customFormat="1"/>
    <row r="815" s="49" customFormat="1"/>
    <row r="816" s="49" customFormat="1"/>
    <row r="817" s="49" customFormat="1"/>
    <row r="818" s="49" customFormat="1"/>
    <row r="819" s="49" customFormat="1"/>
    <row r="820" s="49" customFormat="1"/>
    <row r="821" s="49" customFormat="1"/>
    <row r="822" s="49" customFormat="1"/>
    <row r="823" s="49" customFormat="1"/>
    <row r="824" s="49" customFormat="1"/>
    <row r="825" s="49" customFormat="1"/>
    <row r="826" s="49" customFormat="1"/>
    <row r="827" s="49" customFormat="1"/>
    <row r="828" s="49" customFormat="1"/>
    <row r="829" s="49" customFormat="1"/>
    <row r="830" s="49" customFormat="1"/>
    <row r="831" s="49" customFormat="1"/>
    <row r="832" s="49" customFormat="1"/>
    <row r="833" s="49" customFormat="1"/>
    <row r="834" s="49" customFormat="1"/>
    <row r="835" s="49" customFormat="1"/>
    <row r="836" s="49" customFormat="1"/>
    <row r="837" s="49" customFormat="1"/>
    <row r="838" s="49" customFormat="1"/>
    <row r="839" s="49" customFormat="1"/>
    <row r="840" s="49" customFormat="1"/>
    <row r="841" s="49" customFormat="1"/>
    <row r="842" s="49" customFormat="1"/>
    <row r="843" s="49" customFormat="1"/>
    <row r="844" s="49" customFormat="1"/>
    <row r="845" s="49" customFormat="1"/>
    <row r="846" s="49" customFormat="1"/>
    <row r="847" s="49" customFormat="1"/>
    <row r="848" s="49" customFormat="1"/>
    <row r="849" s="49" customFormat="1"/>
    <row r="850" s="49" customFormat="1"/>
    <row r="851" s="49" customFormat="1"/>
    <row r="852" s="49" customFormat="1"/>
    <row r="853" s="49" customFormat="1"/>
    <row r="854" s="49" customFormat="1"/>
    <row r="855" s="49" customFormat="1"/>
    <row r="856" s="49" customFormat="1"/>
    <row r="857" s="49" customFormat="1"/>
    <row r="858" s="49" customFormat="1"/>
    <row r="859" s="49" customFormat="1"/>
    <row r="860" s="49" customFormat="1"/>
    <row r="861" s="49" customFormat="1"/>
    <row r="862" s="49" customFormat="1"/>
    <row r="863" s="49" customFormat="1"/>
    <row r="864" s="49" customFormat="1"/>
    <row r="865" s="49" customFormat="1"/>
    <row r="866" s="49" customFormat="1"/>
    <row r="867" s="49" customFormat="1"/>
    <row r="868" s="49" customFormat="1"/>
    <row r="869" s="49" customFormat="1"/>
    <row r="870" s="49" customFormat="1"/>
    <row r="871" s="49" customFormat="1"/>
    <row r="872" s="49" customFormat="1"/>
    <row r="873" s="49" customFormat="1"/>
    <row r="874" s="49" customFormat="1"/>
    <row r="875" s="49" customFormat="1"/>
    <row r="876" s="49" customFormat="1"/>
    <row r="877" s="49" customFormat="1"/>
    <row r="878" s="49" customFormat="1"/>
    <row r="879" s="49" customFormat="1"/>
    <row r="880" s="49" customFormat="1"/>
    <row r="881" s="49" customFormat="1"/>
    <row r="882" s="49" customFormat="1"/>
    <row r="883" s="49" customFormat="1"/>
    <row r="884" s="49" customFormat="1"/>
    <row r="885" s="49" customFormat="1"/>
    <row r="886" s="49" customFormat="1"/>
    <row r="887" s="49" customFormat="1"/>
    <row r="888" s="49" customFormat="1"/>
    <row r="889" s="49" customFormat="1"/>
    <row r="890" s="49" customFormat="1"/>
    <row r="891" s="49" customFormat="1"/>
    <row r="892" s="49" customFormat="1"/>
    <row r="893" s="49" customFormat="1"/>
    <row r="894" s="49" customFormat="1"/>
    <row r="895" s="49" customFormat="1"/>
    <row r="896" s="49" customFormat="1"/>
    <row r="897" s="49" customFormat="1"/>
    <row r="898" s="49" customFormat="1"/>
    <row r="899" s="49" customFormat="1"/>
    <row r="900" s="49" customFormat="1"/>
    <row r="901" s="49" customFormat="1"/>
    <row r="902" s="49" customFormat="1"/>
    <row r="903" s="49" customFormat="1"/>
    <row r="904" s="49" customFormat="1"/>
    <row r="905" s="49" customFormat="1"/>
    <row r="906" s="49" customFormat="1"/>
    <row r="907" s="49" customFormat="1"/>
    <row r="908" s="49" customFormat="1"/>
    <row r="909" s="49" customFormat="1"/>
    <row r="910" s="49" customFormat="1"/>
    <row r="911" s="49" customFormat="1"/>
    <row r="912" s="49" customFormat="1"/>
    <row r="913" s="49" customFormat="1"/>
    <row r="914" s="49" customFormat="1"/>
    <row r="915" s="49" customFormat="1"/>
    <row r="916" s="49" customFormat="1"/>
    <row r="917" s="49" customFormat="1"/>
    <row r="918" s="49" customFormat="1"/>
    <row r="919" s="49" customFormat="1"/>
    <row r="920" s="49" customFormat="1"/>
    <row r="921" s="49" customFormat="1"/>
    <row r="922" s="49" customFormat="1"/>
    <row r="923" s="49" customFormat="1"/>
    <row r="924" s="49" customFormat="1"/>
    <row r="925" s="49" customFormat="1"/>
    <row r="926" s="49" customFormat="1"/>
    <row r="927" s="49" customFormat="1"/>
    <row r="928" s="49" customFormat="1"/>
    <row r="929" spans="1:29">
      <c r="A929" s="49"/>
      <c r="B929" s="49"/>
      <c r="C929" s="49"/>
      <c r="D929" s="49"/>
      <c r="E929" s="49"/>
      <c r="F929" s="49"/>
      <c r="G929" s="49"/>
      <c r="H929" s="49"/>
      <c r="I929" s="49"/>
      <c r="J929" s="49"/>
      <c r="K929" s="49"/>
      <c r="L929" s="49"/>
      <c r="M929" s="49"/>
      <c r="N929" s="49"/>
      <c r="O929" s="49"/>
      <c r="P929" s="49"/>
      <c r="Q929" s="49"/>
      <c r="R929" s="49"/>
      <c r="S929" s="49"/>
      <c r="T929" s="49"/>
      <c r="U929" s="49"/>
      <c r="V929" s="49"/>
      <c r="W929" s="49"/>
      <c r="X929" s="49"/>
      <c r="Y929" s="49"/>
      <c r="Z929" s="49"/>
      <c r="AA929" s="49"/>
      <c r="AB929" s="49"/>
      <c r="AC929" s="49"/>
    </row>
  </sheetData>
  <mergeCells count="2">
    <mergeCell ref="P41:P42"/>
    <mergeCell ref="R88:S88"/>
  </mergeCells>
  <phoneticPr fontId="0" type="noConversion"/>
  <pageMargins left="0.75" right="0.75" top="1" bottom="1" header="0.5" footer="0.5"/>
  <pageSetup orientation="portrait"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T43"/>
  <sheetViews>
    <sheetView workbookViewId="0"/>
  </sheetViews>
  <sheetFormatPr defaultColWidth="8.8984375" defaultRowHeight="11.5"/>
  <sheetData>
    <row r="1" spans="1:20" ht="15.5">
      <c r="A1" s="59" t="s">
        <v>1079</v>
      </c>
      <c r="B1" s="60"/>
      <c r="C1" s="60"/>
      <c r="D1" s="60"/>
      <c r="E1" s="60"/>
      <c r="F1" s="60"/>
      <c r="H1" s="60"/>
      <c r="I1" s="64" t="s">
        <v>1080</v>
      </c>
      <c r="J1" s="60"/>
      <c r="K1" s="60"/>
      <c r="L1" s="60"/>
      <c r="M1" s="60"/>
      <c r="N1" s="60"/>
    </row>
    <row r="2" spans="1:20">
      <c r="A2" s="61"/>
      <c r="B2" s="61"/>
      <c r="C2" s="61"/>
      <c r="D2" s="61"/>
      <c r="E2" s="61"/>
      <c r="F2" s="61"/>
      <c r="G2" s="62"/>
      <c r="H2" s="62"/>
      <c r="I2" s="62"/>
      <c r="J2" s="62"/>
      <c r="K2" s="61"/>
      <c r="L2" s="61"/>
      <c r="M2" s="61"/>
      <c r="N2" s="61"/>
    </row>
    <row r="3" spans="1:20" ht="13">
      <c r="A3" s="63" t="s">
        <v>1073</v>
      </c>
      <c r="B3" s="61"/>
      <c r="C3" s="61"/>
      <c r="D3" s="61"/>
      <c r="E3" s="61" t="s">
        <v>1003</v>
      </c>
      <c r="F3" s="61"/>
      <c r="G3" s="62"/>
      <c r="H3" s="65" t="s">
        <v>1004</v>
      </c>
      <c r="I3" s="62"/>
      <c r="J3" s="62"/>
      <c r="K3" s="61"/>
      <c r="L3" s="61"/>
      <c r="M3" s="61"/>
      <c r="N3" s="61"/>
    </row>
    <row r="4" spans="1:20" ht="12.5">
      <c r="A4" s="65" t="s">
        <v>1150</v>
      </c>
    </row>
    <row r="5" spans="1:20" s="61" customFormat="1" ht="17.5">
      <c r="A5" s="1" t="s">
        <v>1152</v>
      </c>
      <c r="B5" s="97"/>
      <c r="C5" s="97"/>
      <c r="D5"/>
      <c r="F5"/>
      <c r="G5"/>
      <c r="M5" s="62"/>
      <c r="R5" s="62" t="s">
        <v>1013</v>
      </c>
      <c r="S5" s="61">
        <v>4</v>
      </c>
      <c r="T5" s="61">
        <v>0.5045882002763733</v>
      </c>
    </row>
    <row r="6" spans="1:20" ht="17.5">
      <c r="A6" s="1" t="s">
        <v>1151</v>
      </c>
      <c r="B6" s="1"/>
      <c r="C6" s="1"/>
    </row>
    <row r="7" spans="1:20" ht="17.5">
      <c r="A7" t="s">
        <v>1153</v>
      </c>
    </row>
    <row r="8" spans="1:20" ht="15" customHeight="1">
      <c r="A8" t="s">
        <v>831</v>
      </c>
    </row>
    <row r="9" spans="1:20" s="93" customFormat="1"/>
    <row r="11" spans="1:20" ht="13">
      <c r="A11" s="74" t="s">
        <v>829</v>
      </c>
    </row>
    <row r="12" spans="1:20" s="93" customFormat="1"/>
    <row r="13" spans="1:20" s="49" customFormat="1">
      <c r="A13" s="75"/>
    </row>
    <row r="14" spans="1:20" s="49" customFormat="1">
      <c r="A14" s="280" t="s">
        <v>1085</v>
      </c>
      <c r="B14" s="184"/>
      <c r="C14" s="184"/>
      <c r="D14" s="184"/>
    </row>
    <row r="15" spans="1:20" s="49" customFormat="1">
      <c r="A15" s="280"/>
      <c r="B15" s="184" t="s">
        <v>830</v>
      </c>
      <c r="C15" s="184"/>
      <c r="D15" s="184"/>
    </row>
    <row r="16" spans="1:20" s="49" customFormat="1">
      <c r="A16" s="363" t="s">
        <v>1002</v>
      </c>
      <c r="B16" s="362" t="s">
        <v>833</v>
      </c>
      <c r="C16" s="362" t="s">
        <v>832</v>
      </c>
      <c r="D16" s="362" t="s">
        <v>834</v>
      </c>
      <c r="E16" s="75"/>
      <c r="F16" s="75"/>
      <c r="G16" s="75"/>
      <c r="H16" s="75"/>
      <c r="I16" s="75"/>
    </row>
    <row r="17" spans="1:9" s="49" customFormat="1">
      <c r="A17" s="184">
        <v>0.5</v>
      </c>
      <c r="B17" s="195">
        <f t="shared" ref="B17:D26" si="0">IF(B$27&lt;0.2,1/($B$36+$C$36*POWER($A17,$D$36)),IF(B$27&gt;0.55,$B$38+$C$38*$A17+$D$38*$A17*$A17+$E$38*$A17*$A17*$A17+$F$38*$A17*$A17*$A17*$A17,$B$37+$C$37*$A17+$D$37*$A17*$A17+$E$37*$A17*$A17*$A17+$F$37*$A17*$A17*$A17*$A17+$G$37*$A17*$A17*$A17*$A17*$A17+$H$37*$A17*$A17*$A17*$A17*$A17*$A17))</f>
        <v>0.24086237757123866</v>
      </c>
      <c r="C17" s="195">
        <f t="shared" si="0"/>
        <v>0.79263854906250009</v>
      </c>
      <c r="D17" s="195">
        <f t="shared" si="0"/>
        <v>0.96743850624999994</v>
      </c>
      <c r="E17" s="75"/>
      <c r="F17" s="75"/>
      <c r="G17" s="75"/>
      <c r="H17" s="75"/>
      <c r="I17" s="75"/>
    </row>
    <row r="18" spans="1:9" s="49" customFormat="1">
      <c r="A18" s="184">
        <v>1</v>
      </c>
      <c r="B18" s="195">
        <f t="shared" si="0"/>
        <v>0.20622808826562178</v>
      </c>
      <c r="C18" s="195">
        <f t="shared" si="0"/>
        <v>0.76685446999999995</v>
      </c>
      <c r="D18" s="195">
        <f t="shared" si="0"/>
        <v>0.93959609999999993</v>
      </c>
      <c r="E18" s="75"/>
      <c r="F18" s="75"/>
      <c r="G18" s="75"/>
      <c r="H18" s="75"/>
      <c r="I18" s="75"/>
    </row>
    <row r="19" spans="1:9" s="49" customFormat="1">
      <c r="A19" s="184">
        <v>2</v>
      </c>
      <c r="B19" s="195">
        <f t="shared" si="0"/>
        <v>9.4128980836169218E-2</v>
      </c>
      <c r="C19" s="195">
        <f t="shared" si="0"/>
        <v>0.69397073999999992</v>
      </c>
      <c r="D19" s="195">
        <f t="shared" si="0"/>
        <v>0.89577760000000006</v>
      </c>
      <c r="E19" s="75"/>
      <c r="F19" s="75"/>
      <c r="G19" s="75"/>
      <c r="H19" s="75"/>
      <c r="I19" s="75"/>
    </row>
    <row r="20" spans="1:9" s="49" customFormat="1">
      <c r="A20" s="184">
        <v>3</v>
      </c>
      <c r="B20" s="195">
        <f t="shared" si="0"/>
        <v>3.7486849318021015E-2</v>
      </c>
      <c r="C20" s="195">
        <f t="shared" si="0"/>
        <v>0.61324481000000008</v>
      </c>
      <c r="D20" s="195">
        <f t="shared" si="0"/>
        <v>0.86360409999999999</v>
      </c>
      <c r="F20" s="75"/>
      <c r="G20" s="75"/>
      <c r="H20" s="75"/>
      <c r="I20" s="75"/>
    </row>
    <row r="21" spans="1:9" s="49" customFormat="1">
      <c r="A21" s="184">
        <v>4</v>
      </c>
      <c r="B21" s="195">
        <f t="shared" si="0"/>
        <v>1.7108450551864059E-2</v>
      </c>
      <c r="C21" s="195">
        <f t="shared" si="0"/>
        <v>0.52629668000000007</v>
      </c>
      <c r="D21" s="195">
        <f t="shared" si="0"/>
        <v>0.83756160000000013</v>
      </c>
      <c r="F21" s="75"/>
      <c r="G21" s="75"/>
      <c r="H21" s="75"/>
      <c r="I21" s="75"/>
    </row>
    <row r="22" spans="1:9" s="49" customFormat="1">
      <c r="A22" s="184">
        <v>5</v>
      </c>
      <c r="B22" s="195">
        <f t="shared" si="0"/>
        <v>8.9696142140865409E-3</v>
      </c>
      <c r="C22" s="195">
        <f t="shared" si="0"/>
        <v>0.43213034999999989</v>
      </c>
      <c r="D22" s="195">
        <f t="shared" si="0"/>
        <v>0.81156249999999996</v>
      </c>
      <c r="F22" s="75"/>
      <c r="G22" s="75"/>
      <c r="H22" s="75"/>
      <c r="I22" s="75"/>
    </row>
    <row r="23" spans="1:9" s="49" customFormat="1">
      <c r="A23" s="184">
        <v>6</v>
      </c>
      <c r="B23" s="195">
        <f t="shared" si="0"/>
        <v>5.2247226612742986E-3</v>
      </c>
      <c r="C23" s="195">
        <f t="shared" si="0"/>
        <v>0.33960181999999883</v>
      </c>
      <c r="D23" s="195">
        <f t="shared" si="0"/>
        <v>0.77894560000000002</v>
      </c>
      <c r="F23" s="75"/>
      <c r="G23" s="75"/>
      <c r="H23" s="75"/>
      <c r="I23" s="75"/>
    </row>
    <row r="24" spans="1:9" s="49" customFormat="1">
      <c r="A24" s="184">
        <v>7</v>
      </c>
      <c r="B24" s="195">
        <f t="shared" si="0"/>
        <v>3.2911030195781226E-3</v>
      </c>
      <c r="C24" s="195">
        <f t="shared" si="0"/>
        <v>0.26469509000000135</v>
      </c>
      <c r="D24" s="195">
        <f t="shared" si="0"/>
        <v>0.73247609999999985</v>
      </c>
      <c r="F24" s="75"/>
      <c r="G24" s="75"/>
      <c r="H24" s="75"/>
      <c r="I24" s="75"/>
    </row>
    <row r="25" spans="1:9" s="49" customFormat="1">
      <c r="A25" s="184">
        <v>8</v>
      </c>
      <c r="B25" s="195">
        <f t="shared" si="0"/>
        <v>2.1999346414896415E-3</v>
      </c>
      <c r="C25" s="195">
        <f t="shared" si="0"/>
        <v>0.21260615999999732</v>
      </c>
      <c r="D25" s="195">
        <f t="shared" si="0"/>
        <v>0.66434559999999998</v>
      </c>
      <c r="F25" s="75"/>
      <c r="G25" s="75"/>
      <c r="H25" s="75"/>
      <c r="I25" s="75"/>
    </row>
    <row r="26" spans="1:9" s="49" customFormat="1">
      <c r="A26" s="255">
        <v>9</v>
      </c>
      <c r="B26" s="254">
        <f t="shared" si="0"/>
        <v>1.5401593662180092E-3</v>
      </c>
      <c r="C26" s="254">
        <f t="shared" si="0"/>
        <v>0.14463502999998745</v>
      </c>
      <c r="D26" s="254">
        <f t="shared" si="0"/>
        <v>0.56617210000000007</v>
      </c>
      <c r="F26" s="75"/>
      <c r="G26" s="75"/>
      <c r="H26" s="75"/>
      <c r="I26" s="75"/>
    </row>
    <row r="27" spans="1:9" s="50" customFormat="1">
      <c r="A27" s="244" t="s">
        <v>169</v>
      </c>
      <c r="B27" s="244">
        <v>0.1</v>
      </c>
      <c r="C27" s="244">
        <v>0.3</v>
      </c>
      <c r="D27" s="244">
        <v>1</v>
      </c>
    </row>
    <row r="28" spans="1:9" s="50" customFormat="1"/>
    <row r="29" spans="1:9" s="49" customFormat="1"/>
    <row r="30" spans="1:9" s="49" customFormat="1">
      <c r="A30" s="49" t="s">
        <v>1154</v>
      </c>
    </row>
    <row r="31" spans="1:9" s="153" customFormat="1">
      <c r="A31" s="119"/>
    </row>
    <row r="32" spans="1:9" s="49" customFormat="1">
      <c r="A32" s="94"/>
    </row>
    <row r="33" spans="1:11" s="49" customFormat="1">
      <c r="A33" s="94"/>
      <c r="H33" s="154" t="s">
        <v>1188</v>
      </c>
    </row>
    <row r="34" spans="1:11" s="49" customFormat="1" ht="13">
      <c r="A34" s="303" t="s">
        <v>902</v>
      </c>
      <c r="B34" s="184"/>
      <c r="C34" s="184"/>
      <c r="D34" s="184"/>
      <c r="E34" s="184"/>
      <c r="F34" s="184"/>
      <c r="G34" s="184"/>
      <c r="H34" s="184"/>
      <c r="J34" s="155" t="s">
        <v>901</v>
      </c>
      <c r="K34" s="51"/>
    </row>
    <row r="35" spans="1:11" s="49" customFormat="1">
      <c r="A35" s="255" t="s">
        <v>1094</v>
      </c>
      <c r="B35" s="253" t="s">
        <v>890</v>
      </c>
      <c r="C35" s="253" t="s">
        <v>891</v>
      </c>
      <c r="D35" s="253" t="s">
        <v>892</v>
      </c>
      <c r="E35" s="253" t="s">
        <v>865</v>
      </c>
      <c r="F35" s="253" t="s">
        <v>1093</v>
      </c>
      <c r="G35" s="253" t="s">
        <v>1068</v>
      </c>
      <c r="H35" s="253" t="s">
        <v>1092</v>
      </c>
      <c r="I35" s="156"/>
      <c r="J35" s="242" t="s">
        <v>870</v>
      </c>
      <c r="K35" s="287" t="s">
        <v>900</v>
      </c>
    </row>
    <row r="36" spans="1:11" s="49" customFormat="1">
      <c r="A36" s="184" t="s">
        <v>1012</v>
      </c>
      <c r="B36" s="252">
        <v>4.056</v>
      </c>
      <c r="C36" s="252">
        <v>0.79300000000000004</v>
      </c>
      <c r="D36" s="252">
        <v>3.05</v>
      </c>
      <c r="E36" s="252">
        <v>0</v>
      </c>
      <c r="F36" s="252">
        <v>0</v>
      </c>
      <c r="G36" s="252">
        <v>0</v>
      </c>
      <c r="H36" s="252">
        <v>0</v>
      </c>
      <c r="I36" s="76"/>
      <c r="J36" s="308">
        <v>2</v>
      </c>
      <c r="K36" s="330">
        <f>1/(B36+C36*POWER(J36,D36))</f>
        <v>9.4128980836169218E-2</v>
      </c>
    </row>
    <row r="37" spans="1:11" s="49" customFormat="1">
      <c r="A37" s="184" t="s">
        <v>1091</v>
      </c>
      <c r="B37" s="252">
        <v>0.8</v>
      </c>
      <c r="C37" s="252">
        <v>1.298857E-2</v>
      </c>
      <c r="D37" s="252">
        <v>-6.7000000000000004E-2</v>
      </c>
      <c r="E37" s="252">
        <v>2.5700000000000001E-2</v>
      </c>
      <c r="F37" s="252">
        <v>-5.3600000000000002E-3</v>
      </c>
      <c r="G37" s="252">
        <v>5.4699999999999996E-4</v>
      </c>
      <c r="H37" s="252">
        <v>-2.1100000000000001E-5</v>
      </c>
      <c r="I37" s="76"/>
      <c r="J37" s="308">
        <v>2</v>
      </c>
      <c r="K37" s="330">
        <f>B37+C37*J37+D37*J37*J37+E37*J37*J37*J37+F37*J37*J37*J37*J37+G37*J37*J37*J37*J37*J37+H37*J37*J37*J37*J37*J37*J37</f>
        <v>0.69397073999999992</v>
      </c>
    </row>
    <row r="38" spans="1:11" s="49" customFormat="1">
      <c r="A38" s="184" t="s">
        <v>1030</v>
      </c>
      <c r="B38" s="252">
        <v>1</v>
      </c>
      <c r="C38" s="252">
        <v>-7.0199999999999999E-2</v>
      </c>
      <c r="D38" s="252">
        <v>1.0500000000000001E-2</v>
      </c>
      <c r="E38" s="252">
        <v>-6.8000000000000005E-4</v>
      </c>
      <c r="F38" s="252">
        <v>-2.3900000000000002E-5</v>
      </c>
      <c r="G38" s="252">
        <v>0</v>
      </c>
      <c r="H38" s="252">
        <v>0</v>
      </c>
      <c r="I38" s="76"/>
      <c r="J38" s="308">
        <v>2</v>
      </c>
      <c r="K38" s="330">
        <f>B38+C38*J38+D38*J38*J38+E38*J38*J38*J38+F38*J38*J38*J38*J38</f>
        <v>0.89577760000000006</v>
      </c>
    </row>
    <row r="39" spans="1:11" s="49" customFormat="1">
      <c r="A39" s="184"/>
      <c r="B39" s="184"/>
      <c r="C39" s="184"/>
      <c r="D39" s="184"/>
      <c r="E39" s="184"/>
      <c r="F39" s="184"/>
      <c r="G39" s="184"/>
      <c r="H39" s="184"/>
    </row>
    <row r="40" spans="1:11" s="49" customFormat="1"/>
    <row r="41" spans="1:11" s="49" customFormat="1"/>
    <row r="42" spans="1:11" s="49" customFormat="1"/>
    <row r="43" spans="1:11" s="49" customFormat="1"/>
  </sheetData>
  <sheetProtection password="CD7A" sheet="1" objects="1" scenarios="1"/>
  <phoneticPr fontId="0" type="noConversion"/>
  <pageMargins left="0.75" right="0.75" top="1" bottom="1" header="0.5" footer="0.5"/>
  <pageSetup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X184"/>
  <sheetViews>
    <sheetView workbookViewId="0">
      <selection activeCell="C39" sqref="C39"/>
    </sheetView>
  </sheetViews>
  <sheetFormatPr defaultColWidth="8.8984375" defaultRowHeight="11.5"/>
  <cols>
    <col min="1" max="1" width="10.3984375" style="366" customWidth="1"/>
    <col min="2" max="2" width="8.8984375" style="366" customWidth="1"/>
    <col min="3" max="5" width="10.09765625" style="366" customWidth="1"/>
    <col min="6" max="6" width="9.3984375" style="366" customWidth="1"/>
    <col min="7" max="16384" width="8.8984375" style="366"/>
  </cols>
  <sheetData>
    <row r="1" spans="1:24" ht="15.5">
      <c r="A1" s="364" t="s">
        <v>1078</v>
      </c>
      <c r="B1" s="365"/>
      <c r="C1" s="365"/>
      <c r="D1" s="365"/>
      <c r="E1" s="365"/>
      <c r="F1" s="365"/>
      <c r="H1" s="365"/>
      <c r="I1" s="367" t="s">
        <v>265</v>
      </c>
      <c r="J1" s="365"/>
      <c r="K1" s="365"/>
      <c r="L1" s="365"/>
      <c r="M1" s="365"/>
      <c r="N1" s="365"/>
    </row>
    <row r="2" spans="1:24">
      <c r="A2" s="368"/>
      <c r="B2" s="368"/>
      <c r="C2" s="368"/>
      <c r="D2" s="368"/>
      <c r="E2" s="368"/>
      <c r="F2" s="368"/>
      <c r="G2" s="369"/>
      <c r="H2" s="369"/>
      <c r="I2" s="369"/>
      <c r="J2" s="369"/>
      <c r="K2" s="368"/>
      <c r="L2" s="368"/>
      <c r="M2" s="368"/>
      <c r="N2" s="368"/>
    </row>
    <row r="3" spans="1:24" ht="13">
      <c r="A3" s="370" t="s">
        <v>1073</v>
      </c>
      <c r="B3" s="368"/>
      <c r="C3" s="368"/>
      <c r="D3" s="368"/>
      <c r="E3" s="371" t="s">
        <v>1198</v>
      </c>
      <c r="F3" s="368"/>
      <c r="G3" s="369"/>
      <c r="H3" s="369"/>
      <c r="I3" s="369"/>
      <c r="J3" s="369"/>
      <c r="K3" s="368"/>
      <c r="L3" s="368"/>
      <c r="M3" s="368"/>
      <c r="N3" s="368"/>
    </row>
    <row r="4" spans="1:24" ht="18.5">
      <c r="A4" s="372" t="s">
        <v>1192</v>
      </c>
      <c r="B4" s="368"/>
      <c r="C4" s="368"/>
      <c r="D4" s="368"/>
      <c r="E4" s="366" t="s">
        <v>1193</v>
      </c>
      <c r="F4" s="368"/>
      <c r="G4" s="369"/>
      <c r="H4" s="369"/>
      <c r="I4" s="369"/>
      <c r="J4" s="369"/>
      <c r="K4" s="368"/>
      <c r="L4" s="368"/>
      <c r="M4" s="368"/>
      <c r="N4" s="368"/>
    </row>
    <row r="5" spans="1:24">
      <c r="A5" s="368" t="s">
        <v>1194</v>
      </c>
      <c r="B5" s="368"/>
      <c r="C5" s="368"/>
      <c r="D5" s="368"/>
      <c r="E5" s="368"/>
      <c r="F5" s="368"/>
      <c r="G5" s="368"/>
      <c r="H5" s="368"/>
      <c r="I5" s="368"/>
      <c r="J5" s="368"/>
      <c r="K5" s="368"/>
      <c r="L5" s="368"/>
      <c r="M5" s="368"/>
      <c r="N5" s="368"/>
    </row>
    <row r="6" spans="1:24">
      <c r="A6" s="368" t="s">
        <v>1195</v>
      </c>
      <c r="B6" s="368"/>
      <c r="C6" s="368"/>
      <c r="D6" s="368"/>
      <c r="E6" s="368"/>
      <c r="F6" s="368"/>
      <c r="G6" s="368"/>
      <c r="H6" s="368"/>
      <c r="I6" s="368"/>
      <c r="J6" s="368"/>
      <c r="K6" s="368"/>
      <c r="L6" s="368"/>
      <c r="M6" s="368"/>
      <c r="N6" s="368"/>
    </row>
    <row r="7" spans="1:24" ht="13">
      <c r="A7" s="373" t="s">
        <v>879</v>
      </c>
      <c r="B7" s="374">
        <v>1</v>
      </c>
      <c r="C7" s="373" t="s">
        <v>863</v>
      </c>
      <c r="D7" s="375">
        <v>50.1</v>
      </c>
      <c r="E7" s="373" t="s">
        <v>1026</v>
      </c>
      <c r="F7" s="376" t="s">
        <v>1026</v>
      </c>
      <c r="G7" s="374"/>
      <c r="H7" s="369"/>
      <c r="I7" s="369"/>
      <c r="J7" s="369"/>
      <c r="K7" s="368"/>
      <c r="L7" s="368"/>
      <c r="M7" s="368"/>
      <c r="N7" s="368"/>
    </row>
    <row r="8" spans="1:24">
      <c r="A8" s="368" t="s">
        <v>1196</v>
      </c>
      <c r="B8" s="368"/>
      <c r="C8" s="377"/>
      <c r="D8" s="368"/>
      <c r="E8" s="377"/>
      <c r="F8" s="369"/>
      <c r="G8" s="369"/>
      <c r="H8" s="369"/>
      <c r="I8" s="369"/>
      <c r="J8" s="369"/>
      <c r="K8" s="368"/>
      <c r="L8" s="368"/>
      <c r="M8" s="368"/>
      <c r="N8" s="368"/>
    </row>
    <row r="9" spans="1:24">
      <c r="A9" s="366" t="s">
        <v>1197</v>
      </c>
    </row>
    <row r="10" spans="1:24" ht="13">
      <c r="A10" s="369" t="s">
        <v>167</v>
      </c>
      <c r="B10" s="368"/>
      <c r="C10" s="377"/>
      <c r="D10" s="368"/>
      <c r="E10" s="377"/>
      <c r="F10" s="369"/>
      <c r="G10" s="369"/>
      <c r="H10" s="369"/>
      <c r="I10" s="369"/>
      <c r="J10" s="369"/>
      <c r="K10" s="368"/>
      <c r="L10" s="368"/>
      <c r="M10" s="368"/>
      <c r="N10" s="368"/>
    </row>
    <row r="11" spans="1:24" s="529" customFormat="1">
      <c r="A11" s="369"/>
      <c r="B11" s="369"/>
      <c r="C11" s="528"/>
      <c r="D11" s="369"/>
      <c r="E11" s="528"/>
      <c r="F11" s="369"/>
      <c r="G11" s="369"/>
      <c r="H11" s="369"/>
      <c r="I11" s="369"/>
      <c r="J11" s="369"/>
      <c r="K11" s="369"/>
      <c r="L11" s="369"/>
      <c r="M11" s="369"/>
      <c r="N11" s="369"/>
    </row>
    <row r="12" spans="1:24" s="529" customFormat="1">
      <c r="A12" s="369"/>
      <c r="B12" s="369"/>
      <c r="C12" s="528"/>
      <c r="D12" s="369"/>
      <c r="E12" s="528"/>
      <c r="F12" s="369"/>
      <c r="G12" s="369"/>
      <c r="H12" s="369"/>
      <c r="I12" s="369"/>
      <c r="J12" s="369"/>
      <c r="K12" s="369"/>
      <c r="L12" s="369"/>
      <c r="M12" s="369"/>
      <c r="N12" s="369"/>
    </row>
    <row r="13" spans="1:24" s="529" customFormat="1" ht="13">
      <c r="A13" s="533" t="s">
        <v>1090</v>
      </c>
      <c r="B13" s="534"/>
      <c r="C13" s="534"/>
      <c r="D13" s="534"/>
      <c r="E13" s="535" t="s">
        <v>1199</v>
      </c>
      <c r="F13" s="534"/>
      <c r="G13" s="534"/>
      <c r="H13" s="534"/>
      <c r="I13" s="534"/>
      <c r="J13" s="534"/>
      <c r="K13" s="534"/>
      <c r="L13" s="534"/>
      <c r="M13" s="534"/>
      <c r="N13" s="534"/>
      <c r="O13" s="534"/>
      <c r="P13" s="534"/>
      <c r="Q13" s="534"/>
      <c r="R13" s="534"/>
      <c r="S13" s="534"/>
      <c r="T13" s="534"/>
      <c r="U13" s="534"/>
      <c r="V13" s="534"/>
      <c r="W13" s="534"/>
      <c r="X13" s="534"/>
    </row>
    <row r="14" spans="1:24" s="529" customFormat="1" ht="12" customHeight="1">
      <c r="A14" s="385"/>
    </row>
    <row r="15" spans="1:24" s="530" customFormat="1" ht="12" customHeight="1">
      <c r="A15" s="381" t="s">
        <v>1200</v>
      </c>
      <c r="D15" s="530" t="s">
        <v>1201</v>
      </c>
      <c r="G15" s="530" t="s">
        <v>1202</v>
      </c>
    </row>
    <row r="16" spans="1:24" s="383" customFormat="1" ht="13">
      <c r="A16" s="382" t="s">
        <v>1055</v>
      </c>
      <c r="B16" s="384" t="s">
        <v>986</v>
      </c>
      <c r="D16" s="383" t="s">
        <v>866</v>
      </c>
      <c r="E16" s="384" t="s">
        <v>1165</v>
      </c>
      <c r="G16" s="383" t="s">
        <v>1057</v>
      </c>
      <c r="H16" s="384" t="s">
        <v>1176</v>
      </c>
    </row>
    <row r="17" spans="1:24" s="385" customFormat="1">
      <c r="A17" s="385">
        <v>1</v>
      </c>
      <c r="B17" s="531">
        <v>0.3</v>
      </c>
      <c r="D17" s="385">
        <v>1</v>
      </c>
      <c r="E17" s="385">
        <v>1.6</v>
      </c>
      <c r="G17" s="385">
        <v>1</v>
      </c>
      <c r="H17" s="385">
        <v>0.15</v>
      </c>
    </row>
    <row r="18" spans="1:24" s="385" customFormat="1">
      <c r="A18" s="385">
        <v>2</v>
      </c>
      <c r="B18" s="385">
        <v>1.55</v>
      </c>
      <c r="D18" s="385">
        <v>2</v>
      </c>
      <c r="E18" s="385">
        <v>1.25</v>
      </c>
      <c r="G18" s="385">
        <v>2</v>
      </c>
      <c r="H18" s="385">
        <v>0.05</v>
      </c>
    </row>
    <row r="19" spans="1:24" s="385" customFormat="1">
      <c r="A19" s="385">
        <v>3</v>
      </c>
      <c r="B19" s="385">
        <v>2.17</v>
      </c>
      <c r="D19" s="385">
        <v>3</v>
      </c>
      <c r="E19" s="385">
        <v>1.1000000000000001</v>
      </c>
      <c r="G19" s="385">
        <v>3</v>
      </c>
      <c r="H19" s="385">
        <v>-0.05</v>
      </c>
    </row>
    <row r="20" spans="1:24" s="385" customFormat="1" ht="14.15" customHeight="1">
      <c r="A20" s="385">
        <v>4</v>
      </c>
      <c r="B20" s="385">
        <v>3.81</v>
      </c>
      <c r="D20" s="385">
        <v>4</v>
      </c>
      <c r="E20" s="385">
        <v>1.05</v>
      </c>
      <c r="G20" s="385">
        <v>4</v>
      </c>
      <c r="H20" s="385">
        <v>-0.1</v>
      </c>
    </row>
    <row r="21" spans="1:24" s="532" customFormat="1">
      <c r="D21" s="385">
        <v>5</v>
      </c>
      <c r="E21" s="385">
        <v>1</v>
      </c>
    </row>
    <row r="22" spans="1:24" s="529" customFormat="1">
      <c r="A22" s="378"/>
      <c r="B22" s="378"/>
      <c r="C22" s="378"/>
      <c r="D22" s="378"/>
      <c r="E22" s="378"/>
      <c r="F22" s="378"/>
      <c r="G22" s="378"/>
      <c r="H22" s="378"/>
      <c r="I22" s="378"/>
      <c r="J22" s="378"/>
      <c r="K22" s="378"/>
      <c r="L22" s="378"/>
      <c r="M22" s="378"/>
      <c r="N22" s="378"/>
      <c r="O22" s="378"/>
      <c r="P22" s="378"/>
      <c r="Q22" s="378"/>
      <c r="R22" s="378"/>
      <c r="S22" s="378"/>
      <c r="T22" s="378"/>
      <c r="U22" s="378"/>
      <c r="V22" s="378"/>
      <c r="W22" s="378"/>
      <c r="X22" s="378"/>
    </row>
    <row r="23" spans="1:24">
      <c r="A23" s="386"/>
      <c r="B23" s="386"/>
      <c r="C23" s="677" t="s">
        <v>399</v>
      </c>
      <c r="D23" s="677" t="s">
        <v>400</v>
      </c>
      <c r="E23" s="386"/>
      <c r="F23" s="386"/>
      <c r="G23" s="386"/>
      <c r="H23" s="386"/>
      <c r="I23" s="386"/>
      <c r="J23" s="386"/>
      <c r="K23" s="386"/>
      <c r="L23" s="386"/>
      <c r="M23" s="386"/>
      <c r="N23" s="386"/>
      <c r="O23" s="386"/>
    </row>
    <row r="24" spans="1:24">
      <c r="A24" s="387" t="s">
        <v>1085</v>
      </c>
      <c r="B24" s="388"/>
      <c r="C24" s="388"/>
      <c r="D24" s="388"/>
      <c r="E24" s="388"/>
      <c r="F24" s="388"/>
      <c r="G24" s="388"/>
      <c r="H24" s="386"/>
      <c r="I24" s="386"/>
      <c r="J24" s="386"/>
      <c r="K24" s="386"/>
      <c r="L24" s="386"/>
      <c r="M24" s="386"/>
      <c r="N24" s="386"/>
      <c r="O24" s="386"/>
    </row>
    <row r="25" spans="1:24" s="392" customFormat="1">
      <c r="A25" s="389" t="s">
        <v>170</v>
      </c>
      <c r="B25" s="390" t="s">
        <v>1209</v>
      </c>
      <c r="C25" s="390" t="s">
        <v>1148</v>
      </c>
      <c r="D25" s="390" t="s">
        <v>1147</v>
      </c>
      <c r="E25" s="390" t="s">
        <v>1149</v>
      </c>
      <c r="F25" s="390" t="s">
        <v>403</v>
      </c>
      <c r="G25" s="390" t="s">
        <v>404</v>
      </c>
      <c r="H25" s="391"/>
      <c r="I25" s="391"/>
      <c r="J25" s="391"/>
      <c r="K25" s="391" t="s">
        <v>401</v>
      </c>
      <c r="L25" s="391"/>
      <c r="M25" s="391"/>
      <c r="N25" s="391"/>
      <c r="O25" s="391"/>
    </row>
    <row r="26" spans="1:24">
      <c r="A26" s="393">
        <v>0.5</v>
      </c>
      <c r="B26" s="394">
        <f t="shared" ref="B26:G36" si="0">$B$7/(1+$D$7*EXP(-((LOOKUP(B$37,$A$17:$A$20,$B$17:$B$20)*LOOKUP(B$38,$D$17:$D$21,$E$17:$E$21))+(LOOKUP(B$37,$A$17:$A$20,$B$17:$B$20)*LOOKUP($B$38,$D$17:$D$21,$E$17:$E$21)*LOOKUP(B$39,$G$17:$G$20,$H$17:$H$20)))*$A26))</f>
        <v>7.2999872530042906E-2</v>
      </c>
      <c r="C26" s="394">
        <f t="shared" si="0"/>
        <v>4.8688624511844622E-2</v>
      </c>
      <c r="D26" s="394">
        <f t="shared" si="0"/>
        <v>4.6924866226398493E-2</v>
      </c>
      <c r="E26" s="394">
        <f t="shared" si="0"/>
        <v>9.6416078969771835E-2</v>
      </c>
      <c r="F26" s="394">
        <f t="shared" si="0"/>
        <v>0.16805905711840166</v>
      </c>
      <c r="G26" s="394">
        <f t="shared" si="0"/>
        <v>0.15515926718872983</v>
      </c>
      <c r="H26" s="386"/>
      <c r="I26" s="386"/>
      <c r="J26" s="386"/>
      <c r="K26" s="386"/>
      <c r="L26" s="386"/>
      <c r="M26" s="386"/>
      <c r="N26" s="386"/>
      <c r="O26" s="386"/>
    </row>
    <row r="27" spans="1:24">
      <c r="A27" s="393">
        <v>1</v>
      </c>
      <c r="B27" s="394">
        <f t="shared" si="0"/>
        <v>0.23704102975759073</v>
      </c>
      <c r="C27" s="394">
        <f t="shared" si="0"/>
        <v>0.11600983058251009</v>
      </c>
      <c r="D27" s="394">
        <f t="shared" si="0"/>
        <v>0.10829551831698589</v>
      </c>
      <c r="E27" s="394">
        <f t="shared" si="0"/>
        <v>0.36323029428505488</v>
      </c>
      <c r="F27" s="394">
        <f t="shared" si="0"/>
        <v>0.67153348740817931</v>
      </c>
      <c r="G27" s="394">
        <f t="shared" si="0"/>
        <v>0.62822954081329152</v>
      </c>
      <c r="H27" s="386"/>
      <c r="I27" s="386"/>
      <c r="J27" s="386"/>
      <c r="K27" s="386"/>
      <c r="L27" s="386"/>
      <c r="M27" s="386"/>
      <c r="N27" s="386"/>
      <c r="O27" s="386"/>
    </row>
    <row r="28" spans="1:24">
      <c r="A28" s="393">
        <v>1.5</v>
      </c>
      <c r="B28" s="394">
        <f t="shared" si="0"/>
        <v>0.55071351251292588</v>
      </c>
      <c r="C28" s="394">
        <f t="shared" si="0"/>
        <v>0.2517791247460856</v>
      </c>
      <c r="D28" s="394">
        <f t="shared" si="0"/>
        <v>0.23051668785721063</v>
      </c>
      <c r="E28" s="394">
        <f t="shared" si="0"/>
        <v>0.75305153462998298</v>
      </c>
      <c r="F28" s="394">
        <f t="shared" si="0"/>
        <v>0.95389815732277639</v>
      </c>
      <c r="G28" s="394">
        <f t="shared" si="0"/>
        <v>0.93957098444088805</v>
      </c>
      <c r="H28" s="386"/>
      <c r="I28" s="386"/>
      <c r="J28" s="386"/>
      <c r="K28" s="386"/>
      <c r="L28" s="386"/>
      <c r="M28" s="386"/>
      <c r="N28" s="386"/>
      <c r="O28" s="386"/>
    </row>
    <row r="29" spans="1:24">
      <c r="A29" s="393">
        <v>2</v>
      </c>
      <c r="B29" s="394">
        <f t="shared" si="0"/>
        <v>0.82864849060152845</v>
      </c>
      <c r="C29" s="394">
        <f t="shared" si="0"/>
        <v>0.46318648645517069</v>
      </c>
      <c r="D29" s="394">
        <f t="shared" si="0"/>
        <v>0.42494131776891597</v>
      </c>
      <c r="E29" s="394">
        <f t="shared" si="0"/>
        <v>0.94220273386111419</v>
      </c>
      <c r="F29" s="394">
        <f t="shared" si="0"/>
        <v>0.99524730293516483</v>
      </c>
      <c r="G29" s="394">
        <f t="shared" si="0"/>
        <v>0.99305855036724389</v>
      </c>
      <c r="H29" s="386"/>
      <c r="I29" s="386"/>
      <c r="J29" s="386"/>
      <c r="K29" s="386"/>
      <c r="L29" s="1403" t="s">
        <v>1145</v>
      </c>
      <c r="M29" s="1403" t="s">
        <v>1146</v>
      </c>
      <c r="N29" s="386"/>
      <c r="O29" s="386"/>
    </row>
    <row r="30" spans="1:24">
      <c r="A30" s="393">
        <v>2.5</v>
      </c>
      <c r="B30" s="394">
        <f t="shared" si="0"/>
        <v>0.95019746771482183</v>
      </c>
      <c r="C30" s="394">
        <f t="shared" si="0"/>
        <v>0.68871185723016692</v>
      </c>
      <c r="D30" s="394">
        <f t="shared" si="0"/>
        <v>0.64573728981941203</v>
      </c>
      <c r="E30" s="394">
        <f t="shared" si="0"/>
        <v>0.98865540015198716</v>
      </c>
      <c r="F30" s="394">
        <f t="shared" si="0"/>
        <v>0.99952837469287137</v>
      </c>
      <c r="G30" s="394">
        <f t="shared" si="0"/>
        <v>0.99924088964094482</v>
      </c>
      <c r="H30" s="386"/>
      <c r="I30" s="386"/>
      <c r="J30" s="386"/>
      <c r="K30" s="386"/>
      <c r="L30" s="1403"/>
      <c r="M30" s="1403"/>
      <c r="N30" s="386"/>
      <c r="O30" s="386"/>
    </row>
    <row r="31" spans="1:24">
      <c r="A31" s="393">
        <v>3</v>
      </c>
      <c r="B31" s="394">
        <f t="shared" si="0"/>
        <v>0.98688929750961829</v>
      </c>
      <c r="C31" s="394">
        <f t="shared" si="0"/>
        <v>0.85014375513986096</v>
      </c>
      <c r="D31" s="394">
        <f t="shared" si="0"/>
        <v>0.81805557512196181</v>
      </c>
      <c r="E31" s="394">
        <f t="shared" si="0"/>
        <v>0.99785812392851059</v>
      </c>
      <c r="F31" s="394">
        <f t="shared" si="0"/>
        <v>0.99995337975239529</v>
      </c>
      <c r="G31" s="394">
        <f t="shared" si="0"/>
        <v>0.99991744217104472</v>
      </c>
      <c r="H31" s="386"/>
      <c r="I31" s="386"/>
      <c r="J31" s="386"/>
      <c r="K31" s="386"/>
      <c r="L31" s="386"/>
      <c r="M31" s="386"/>
      <c r="N31" s="386"/>
      <c r="O31" s="386"/>
    </row>
    <row r="32" spans="1:24">
      <c r="A32" s="393">
        <v>3.5</v>
      </c>
      <c r="B32" s="394">
        <f t="shared" si="0"/>
        <v>0.99664403393396472</v>
      </c>
      <c r="C32" s="394">
        <f t="shared" si="0"/>
        <v>0.93567705573368987</v>
      </c>
      <c r="D32" s="394">
        <f t="shared" si="0"/>
        <v>0.91729158069646977</v>
      </c>
      <c r="E32" s="394">
        <f t="shared" si="0"/>
        <v>0.99959864146625388</v>
      </c>
      <c r="F32" s="394">
        <f t="shared" si="0"/>
        <v>0.99999539334517384</v>
      </c>
      <c r="G32" s="394">
        <f t="shared" si="0"/>
        <v>0.99999102675301976</v>
      </c>
      <c r="H32" s="386"/>
      <c r="I32" s="386"/>
      <c r="J32" s="386"/>
      <c r="K32" s="386"/>
      <c r="L32" s="684">
        <v>4</v>
      </c>
      <c r="M32" s="684">
        <v>4</v>
      </c>
      <c r="N32" s="386"/>
      <c r="O32" s="386"/>
    </row>
    <row r="33" spans="1:24">
      <c r="A33" s="393">
        <v>4</v>
      </c>
      <c r="B33" s="394">
        <f t="shared" si="0"/>
        <v>0.99914723974928754</v>
      </c>
      <c r="C33" s="394">
        <f t="shared" si="0"/>
        <v>0.97388997492009888</v>
      </c>
      <c r="D33" s="394">
        <f t="shared" si="0"/>
        <v>0.96473556170030261</v>
      </c>
      <c r="E33" s="394">
        <f t="shared" si="0"/>
        <v>0.9999248973037288</v>
      </c>
      <c r="F33" s="394">
        <f t="shared" si="0"/>
        <v>0.9999995448229837</v>
      </c>
      <c r="G33" s="394">
        <f t="shared" si="0"/>
        <v>0.99999902475778113</v>
      </c>
      <c r="H33" s="386"/>
      <c r="I33" s="386"/>
      <c r="J33" s="386"/>
      <c r="K33" s="386"/>
      <c r="L33" s="684">
        <v>2</v>
      </c>
      <c r="M33" s="684">
        <v>2</v>
      </c>
      <c r="N33" s="386"/>
      <c r="O33" s="386"/>
    </row>
    <row r="34" spans="1:24">
      <c r="A34" s="393">
        <v>4.5</v>
      </c>
      <c r="B34" s="394">
        <f t="shared" si="0"/>
        <v>0.99978371645414632</v>
      </c>
      <c r="C34" s="394">
        <f t="shared" si="0"/>
        <v>0.98965244946480113</v>
      </c>
      <c r="D34" s="394">
        <f t="shared" si="0"/>
        <v>0.98539752339370157</v>
      </c>
      <c r="E34" s="394">
        <f t="shared" si="0"/>
        <v>0.99998595041979921</v>
      </c>
      <c r="F34" s="394">
        <f t="shared" si="0"/>
        <v>0.99999995502477423</v>
      </c>
      <c r="G34" s="394">
        <f t="shared" si="0"/>
        <v>0.99999989400819922</v>
      </c>
      <c r="H34" s="386"/>
      <c r="I34" s="386"/>
      <c r="J34" s="386"/>
      <c r="K34" s="386"/>
      <c r="L34" s="685">
        <v>4</v>
      </c>
      <c r="M34" s="685">
        <v>1</v>
      </c>
      <c r="N34" s="386"/>
      <c r="O34" s="386"/>
    </row>
    <row r="35" spans="1:24">
      <c r="A35" s="393">
        <v>5</v>
      </c>
      <c r="B35" s="394">
        <f t="shared" si="0"/>
        <v>0.99994517058965382</v>
      </c>
      <c r="C35" s="394">
        <f t="shared" si="0"/>
        <v>0.9959388876819899</v>
      </c>
      <c r="D35" s="394">
        <f t="shared" si="0"/>
        <v>0.99402827007529004</v>
      </c>
      <c r="E35" s="394">
        <f t="shared" si="0"/>
        <v>0.99999737185325555</v>
      </c>
      <c r="F35" s="394">
        <f t="shared" si="0"/>
        <v>0.9999999955560801</v>
      </c>
      <c r="G35" s="394">
        <f t="shared" si="0"/>
        <v>0.99999998848055094</v>
      </c>
      <c r="H35" s="386"/>
      <c r="I35" s="386"/>
      <c r="J35" s="386"/>
      <c r="K35" s="386"/>
      <c r="L35" s="386"/>
      <c r="M35" s="386"/>
      <c r="N35" s="386"/>
      <c r="O35" s="386"/>
    </row>
    <row r="36" spans="1:24">
      <c r="A36" s="395">
        <v>10</v>
      </c>
      <c r="B36" s="396">
        <f t="shared" si="0"/>
        <v>0.99999999993998823</v>
      </c>
      <c r="C36" s="396">
        <f t="shared" si="0"/>
        <v>0.9999996681156671</v>
      </c>
      <c r="D36" s="396">
        <f t="shared" si="0"/>
        <v>0.99999927961475987</v>
      </c>
      <c r="E36" s="396">
        <f t="shared" si="0"/>
        <v>0.99999999999986211</v>
      </c>
      <c r="F36" s="396">
        <f t="shared" si="0"/>
        <v>1</v>
      </c>
      <c r="G36" s="396">
        <f t="shared" si="0"/>
        <v>1</v>
      </c>
      <c r="H36" s="386"/>
      <c r="I36" s="386"/>
      <c r="J36" s="386"/>
      <c r="K36" s="386"/>
      <c r="L36" s="386"/>
      <c r="M36" s="386"/>
      <c r="N36" s="386"/>
      <c r="O36" s="386"/>
    </row>
    <row r="37" spans="1:24">
      <c r="A37" s="397" t="s">
        <v>89</v>
      </c>
      <c r="B37" s="398">
        <v>3</v>
      </c>
      <c r="C37" s="398">
        <v>2</v>
      </c>
      <c r="D37" s="398">
        <v>2</v>
      </c>
      <c r="E37" s="398">
        <v>3</v>
      </c>
      <c r="F37" s="398">
        <v>4</v>
      </c>
      <c r="G37" s="398">
        <v>5</v>
      </c>
      <c r="H37" s="386"/>
      <c r="I37" s="386"/>
      <c r="J37" s="386"/>
      <c r="K37" s="386"/>
      <c r="L37" s="386"/>
      <c r="M37" s="386"/>
      <c r="N37" s="386"/>
      <c r="O37" s="386"/>
    </row>
    <row r="38" spans="1:24">
      <c r="A38" s="397" t="s">
        <v>71</v>
      </c>
      <c r="B38" s="398">
        <v>3</v>
      </c>
      <c r="C38" s="398">
        <v>4</v>
      </c>
      <c r="D38" s="398">
        <v>5</v>
      </c>
      <c r="E38" s="398">
        <v>1</v>
      </c>
      <c r="F38" s="398">
        <v>4</v>
      </c>
      <c r="G38" s="398">
        <v>5</v>
      </c>
      <c r="H38" s="386"/>
      <c r="I38" s="386"/>
      <c r="J38" s="386"/>
      <c r="K38" s="386"/>
      <c r="L38" s="386"/>
      <c r="M38" s="386"/>
      <c r="N38" s="386"/>
      <c r="O38" s="386"/>
    </row>
    <row r="39" spans="1:24">
      <c r="A39" s="399" t="s">
        <v>166</v>
      </c>
      <c r="B39" s="400">
        <v>1</v>
      </c>
      <c r="C39" s="400">
        <v>1</v>
      </c>
      <c r="D39" s="400">
        <v>1</v>
      </c>
      <c r="E39" s="400">
        <v>3</v>
      </c>
      <c r="F39" s="400">
        <v>1</v>
      </c>
      <c r="G39" s="400">
        <v>1</v>
      </c>
      <c r="H39" s="386"/>
      <c r="I39" s="386"/>
      <c r="J39" s="386"/>
      <c r="K39" s="386"/>
      <c r="L39" s="386"/>
      <c r="M39" s="386"/>
      <c r="N39" s="386"/>
      <c r="O39" s="386"/>
    </row>
    <row r="40" spans="1:24">
      <c r="A40" s="401" t="s">
        <v>1206</v>
      </c>
      <c r="B40" s="386" t="s">
        <v>764</v>
      </c>
      <c r="C40" s="386" t="s">
        <v>1139</v>
      </c>
      <c r="D40" s="386" t="s">
        <v>1139</v>
      </c>
      <c r="E40" s="386" t="s">
        <v>1141</v>
      </c>
      <c r="F40" s="386" t="s">
        <v>967</v>
      </c>
      <c r="G40" s="386" t="s">
        <v>967</v>
      </c>
      <c r="H40" s="386"/>
      <c r="I40" s="386"/>
      <c r="J40" s="386"/>
      <c r="K40" s="386"/>
      <c r="L40" s="386"/>
      <c r="M40" s="386"/>
      <c r="N40" s="386"/>
      <c r="O40" s="386"/>
    </row>
    <row r="41" spans="1:24">
      <c r="A41" s="402"/>
      <c r="B41" s="386" t="s">
        <v>1040</v>
      </c>
      <c r="C41" s="386" t="s">
        <v>1040</v>
      </c>
      <c r="D41" s="386" t="s">
        <v>1140</v>
      </c>
      <c r="E41" s="386" t="s">
        <v>1140</v>
      </c>
      <c r="F41" s="386" t="s">
        <v>1142</v>
      </c>
      <c r="G41" s="386" t="s">
        <v>1142</v>
      </c>
      <c r="H41" s="386"/>
      <c r="I41" s="386"/>
      <c r="J41" s="386"/>
      <c r="K41" s="386"/>
      <c r="L41" s="386"/>
      <c r="M41" s="386"/>
      <c r="N41" s="386"/>
      <c r="O41" s="386"/>
    </row>
    <row r="42" spans="1:24">
      <c r="A42" s="402"/>
      <c r="B42" s="386" t="s">
        <v>1041</v>
      </c>
      <c r="C42" s="386" t="s">
        <v>1041</v>
      </c>
      <c r="D42" s="386" t="s">
        <v>1041</v>
      </c>
      <c r="E42" s="386" t="s">
        <v>1041</v>
      </c>
      <c r="F42" s="386" t="s">
        <v>1143</v>
      </c>
      <c r="G42" s="386" t="s">
        <v>1144</v>
      </c>
      <c r="H42" s="386"/>
      <c r="I42" s="386"/>
      <c r="J42" s="386"/>
      <c r="K42" s="386"/>
      <c r="L42" s="386"/>
      <c r="M42" s="386"/>
      <c r="N42" s="386"/>
      <c r="O42" s="386"/>
    </row>
    <row r="43" spans="1:24">
      <c r="A43" s="386" t="s">
        <v>1154</v>
      </c>
      <c r="B43" s="386"/>
      <c r="C43" s="386"/>
      <c r="D43" s="386"/>
      <c r="E43" s="386"/>
      <c r="F43" s="386"/>
      <c r="G43" s="386"/>
      <c r="H43" s="386"/>
      <c r="I43" s="386"/>
      <c r="J43" s="386"/>
      <c r="K43" s="386"/>
      <c r="L43" s="386"/>
      <c r="M43" s="386"/>
      <c r="N43" s="386"/>
      <c r="O43" s="386"/>
    </row>
    <row r="44" spans="1:24" s="529" customFormat="1">
      <c r="A44" s="402"/>
      <c r="B44" s="532"/>
      <c r="C44" s="532"/>
      <c r="D44" s="532"/>
      <c r="E44" s="532"/>
      <c r="F44" s="532"/>
      <c r="G44" s="532"/>
      <c r="H44" s="532"/>
      <c r="I44" s="532"/>
      <c r="J44" s="532"/>
      <c r="K44" s="532"/>
      <c r="L44" s="532"/>
      <c r="M44" s="532"/>
      <c r="N44" s="532"/>
      <c r="O44" s="532"/>
    </row>
    <row r="45" spans="1:24" s="529" customFormat="1">
      <c r="A45" s="402"/>
      <c r="B45" s="532"/>
      <c r="C45" s="532"/>
      <c r="D45" s="532"/>
      <c r="E45" s="532"/>
      <c r="F45" s="532"/>
      <c r="G45" s="532"/>
      <c r="H45" s="532"/>
      <c r="I45" s="532"/>
      <c r="J45" s="532"/>
      <c r="K45" s="532"/>
      <c r="L45" s="532"/>
      <c r="M45" s="532"/>
      <c r="N45" s="532"/>
      <c r="O45" s="532"/>
    </row>
    <row r="46" spans="1:24">
      <c r="A46" s="536"/>
      <c r="B46" s="537"/>
      <c r="C46" s="537"/>
      <c r="D46" s="537"/>
      <c r="E46" s="537"/>
      <c r="F46" s="537"/>
      <c r="G46" s="537"/>
      <c r="H46" s="538" t="s">
        <v>1188</v>
      </c>
      <c r="I46" s="537"/>
      <c r="J46" s="537"/>
      <c r="K46" s="537"/>
      <c r="L46" s="537"/>
      <c r="M46" s="537"/>
      <c r="N46" s="537"/>
      <c r="O46" s="537"/>
      <c r="P46" s="534"/>
      <c r="Q46" s="534"/>
      <c r="R46" s="534"/>
      <c r="S46" s="534"/>
      <c r="T46" s="534"/>
      <c r="U46" s="534"/>
      <c r="V46" s="534"/>
      <c r="W46" s="534"/>
      <c r="X46" s="534"/>
    </row>
    <row r="47" spans="1:24" ht="13">
      <c r="A47" s="404" t="s">
        <v>902</v>
      </c>
      <c r="B47" s="388"/>
      <c r="C47" s="388"/>
      <c r="D47" s="388"/>
      <c r="E47" s="388"/>
      <c r="F47" s="388"/>
      <c r="G47" s="388"/>
      <c r="H47" s="386"/>
      <c r="I47" s="405" t="s">
        <v>901</v>
      </c>
      <c r="J47" s="406"/>
      <c r="K47" s="386"/>
      <c r="L47" s="386"/>
      <c r="M47" s="386"/>
      <c r="N47" s="386"/>
      <c r="O47" s="386"/>
    </row>
    <row r="48" spans="1:24">
      <c r="A48" s="407" t="s">
        <v>1087</v>
      </c>
      <c r="B48" s="407" t="s">
        <v>906</v>
      </c>
      <c r="C48" s="407" t="s">
        <v>1088</v>
      </c>
      <c r="D48" s="407" t="s">
        <v>893</v>
      </c>
      <c r="E48" s="407" t="s">
        <v>894</v>
      </c>
      <c r="F48" s="407" t="s">
        <v>1089</v>
      </c>
      <c r="G48" s="408" t="s">
        <v>892</v>
      </c>
      <c r="H48" s="403"/>
      <c r="I48" s="409" t="s">
        <v>870</v>
      </c>
      <c r="J48" s="410" t="s">
        <v>900</v>
      </c>
      <c r="K48" s="386"/>
      <c r="L48" s="386"/>
      <c r="M48" s="386"/>
      <c r="N48" s="386"/>
      <c r="O48" s="386"/>
    </row>
    <row r="49" spans="1:15">
      <c r="A49" s="411">
        <v>1</v>
      </c>
      <c r="B49" s="411">
        <v>1</v>
      </c>
      <c r="C49" s="411">
        <v>1</v>
      </c>
      <c r="D49" s="526">
        <f>IF(A49=1,0.3,IF(A49=2,1.55,0))</f>
        <v>0.3</v>
      </c>
      <c r="E49" s="411">
        <v>1.6</v>
      </c>
      <c r="F49" s="411">
        <v>0.15</v>
      </c>
      <c r="G49" s="412">
        <f t="shared" ref="G49:G80" si="1">D49*(E49)+(D49*E49*F49)</f>
        <v>0.55199999999999994</v>
      </c>
      <c r="H49" s="386" t="s">
        <v>1026</v>
      </c>
      <c r="I49" s="413">
        <v>2</v>
      </c>
      <c r="J49" s="414">
        <f t="shared" ref="J49:J80" si="2">$B$7/(1+$D$7*EXP(-G49*I49))</f>
        <v>5.6785055594188949E-2</v>
      </c>
      <c r="K49" s="386"/>
      <c r="L49" s="386"/>
      <c r="M49" s="386"/>
      <c r="N49" s="386"/>
      <c r="O49" s="386"/>
    </row>
    <row r="50" spans="1:15">
      <c r="A50" s="411">
        <v>1</v>
      </c>
      <c r="B50" s="411">
        <v>1</v>
      </c>
      <c r="C50" s="411">
        <v>2</v>
      </c>
      <c r="D50" s="526">
        <v>0.3</v>
      </c>
      <c r="E50" s="411">
        <v>1.6</v>
      </c>
      <c r="F50" s="411">
        <v>0.05</v>
      </c>
      <c r="G50" s="412">
        <f t="shared" si="1"/>
        <v>0.504</v>
      </c>
      <c r="H50" s="386"/>
      <c r="I50" s="413">
        <v>2</v>
      </c>
      <c r="J50" s="414">
        <f t="shared" si="2"/>
        <v>5.1856724478087195E-2</v>
      </c>
      <c r="K50" s="386"/>
      <c r="L50" s="386"/>
      <c r="M50" s="386"/>
      <c r="N50" s="386"/>
      <c r="O50" s="386"/>
    </row>
    <row r="51" spans="1:15">
      <c r="A51" s="411">
        <v>1</v>
      </c>
      <c r="B51" s="411">
        <v>1</v>
      </c>
      <c r="C51" s="411">
        <v>3</v>
      </c>
      <c r="D51" s="526">
        <v>0.3</v>
      </c>
      <c r="E51" s="411">
        <v>1.6</v>
      </c>
      <c r="F51" s="411">
        <v>-0.05</v>
      </c>
      <c r="G51" s="412">
        <f t="shared" si="1"/>
        <v>0.45599999999999996</v>
      </c>
      <c r="H51" s="386"/>
      <c r="I51" s="413">
        <v>2</v>
      </c>
      <c r="J51" s="414">
        <f t="shared" si="2"/>
        <v>4.7334654247721805E-2</v>
      </c>
      <c r="K51" s="386"/>
      <c r="L51" s="386"/>
      <c r="M51" s="386"/>
      <c r="N51" s="386"/>
      <c r="O51" s="386"/>
    </row>
    <row r="52" spans="1:15">
      <c r="A52" s="411">
        <v>1</v>
      </c>
      <c r="B52" s="411">
        <v>1</v>
      </c>
      <c r="C52" s="411">
        <v>4</v>
      </c>
      <c r="D52" s="526">
        <v>0.3</v>
      </c>
      <c r="E52" s="411">
        <v>1.6</v>
      </c>
      <c r="F52" s="411">
        <v>-0.1</v>
      </c>
      <c r="G52" s="412">
        <f t="shared" si="1"/>
        <v>0.432</v>
      </c>
      <c r="H52" s="386"/>
      <c r="I52" s="413">
        <v>2</v>
      </c>
      <c r="J52" s="414">
        <f t="shared" si="2"/>
        <v>4.5216566512723995E-2</v>
      </c>
      <c r="K52" s="386"/>
      <c r="L52" s="386"/>
      <c r="M52" s="386"/>
      <c r="N52" s="386"/>
      <c r="O52" s="386"/>
    </row>
    <row r="53" spans="1:15">
      <c r="A53" s="411">
        <v>1</v>
      </c>
      <c r="B53" s="411">
        <v>2</v>
      </c>
      <c r="C53" s="411">
        <v>1</v>
      </c>
      <c r="D53" s="526">
        <v>0.3</v>
      </c>
      <c r="E53" s="415">
        <v>1.25</v>
      </c>
      <c r="F53" s="411">
        <v>0.15</v>
      </c>
      <c r="G53" s="412">
        <f t="shared" si="1"/>
        <v>0.43125000000000002</v>
      </c>
      <c r="H53" s="386"/>
      <c r="I53" s="413">
        <v>2</v>
      </c>
      <c r="J53" s="414">
        <f t="shared" si="2"/>
        <v>4.5151852628123511E-2</v>
      </c>
      <c r="K53" s="386"/>
      <c r="L53" s="386"/>
      <c r="M53" s="386"/>
      <c r="N53" s="386"/>
      <c r="O53" s="386"/>
    </row>
    <row r="54" spans="1:15">
      <c r="A54" s="411">
        <v>1</v>
      </c>
      <c r="B54" s="411">
        <v>2</v>
      </c>
      <c r="C54" s="411">
        <v>2</v>
      </c>
      <c r="D54" s="526">
        <v>0.3</v>
      </c>
      <c r="E54" s="415">
        <v>1.25</v>
      </c>
      <c r="F54" s="411">
        <v>0.05</v>
      </c>
      <c r="G54" s="412">
        <f t="shared" si="1"/>
        <v>0.39374999999999999</v>
      </c>
      <c r="H54" s="386"/>
      <c r="I54" s="413">
        <v>2</v>
      </c>
      <c r="J54" s="414">
        <f t="shared" si="2"/>
        <v>4.2026449111224558E-2</v>
      </c>
      <c r="K54" s="386"/>
      <c r="L54" s="386"/>
      <c r="M54" s="386"/>
      <c r="N54" s="386"/>
      <c r="O54" s="386"/>
    </row>
    <row r="55" spans="1:15">
      <c r="A55" s="411">
        <v>1</v>
      </c>
      <c r="B55" s="411">
        <v>2</v>
      </c>
      <c r="C55" s="411">
        <v>3</v>
      </c>
      <c r="D55" s="526">
        <v>0.3</v>
      </c>
      <c r="E55" s="415">
        <v>1.25</v>
      </c>
      <c r="F55" s="411">
        <v>-0.05</v>
      </c>
      <c r="G55" s="412">
        <f t="shared" si="1"/>
        <v>0.35625000000000001</v>
      </c>
      <c r="H55" s="386"/>
      <c r="I55" s="413">
        <v>2</v>
      </c>
      <c r="J55" s="414">
        <f t="shared" si="2"/>
        <v>3.9108524674771807E-2</v>
      </c>
      <c r="K55" s="386"/>
      <c r="L55" s="386"/>
      <c r="M55" s="386"/>
      <c r="N55" s="386"/>
      <c r="O55" s="386"/>
    </row>
    <row r="56" spans="1:15">
      <c r="A56" s="411">
        <v>1</v>
      </c>
      <c r="B56" s="411">
        <v>2</v>
      </c>
      <c r="C56" s="411">
        <v>4</v>
      </c>
      <c r="D56" s="526">
        <v>0.3</v>
      </c>
      <c r="E56" s="415">
        <v>1.25</v>
      </c>
      <c r="F56" s="411">
        <v>-0.1</v>
      </c>
      <c r="G56" s="412">
        <f t="shared" si="1"/>
        <v>0.33750000000000002</v>
      </c>
      <c r="H56" s="386"/>
      <c r="I56" s="413">
        <v>2</v>
      </c>
      <c r="J56" s="414">
        <f t="shared" si="2"/>
        <v>3.7723412185074988E-2</v>
      </c>
      <c r="K56" s="386"/>
      <c r="L56" s="386"/>
      <c r="M56" s="386"/>
      <c r="N56" s="386"/>
      <c r="O56" s="386"/>
    </row>
    <row r="57" spans="1:15">
      <c r="A57" s="411">
        <v>1</v>
      </c>
      <c r="B57" s="411">
        <v>3</v>
      </c>
      <c r="C57" s="411">
        <v>1</v>
      </c>
      <c r="D57" s="526">
        <v>0.3</v>
      </c>
      <c r="E57" s="415">
        <v>1.1000000000000001</v>
      </c>
      <c r="F57" s="411">
        <v>0.15</v>
      </c>
      <c r="G57" s="412">
        <f t="shared" si="1"/>
        <v>0.3795</v>
      </c>
      <c r="H57" s="386"/>
      <c r="I57" s="413">
        <v>2</v>
      </c>
      <c r="J57" s="414">
        <f t="shared" si="2"/>
        <v>4.0893891727413915E-2</v>
      </c>
      <c r="K57" s="386"/>
      <c r="L57" s="386"/>
      <c r="M57" s="386"/>
      <c r="N57" s="386"/>
      <c r="O57" s="386"/>
    </row>
    <row r="58" spans="1:15">
      <c r="A58" s="411">
        <v>1</v>
      </c>
      <c r="B58" s="411">
        <v>3</v>
      </c>
      <c r="C58" s="411">
        <v>2</v>
      </c>
      <c r="D58" s="526">
        <v>0.3</v>
      </c>
      <c r="E58" s="415">
        <v>1.1000000000000001</v>
      </c>
      <c r="F58" s="411">
        <v>0.05</v>
      </c>
      <c r="G58" s="412">
        <f t="shared" si="1"/>
        <v>0.34650000000000003</v>
      </c>
      <c r="H58" s="386"/>
      <c r="I58" s="413">
        <v>2</v>
      </c>
      <c r="J58" s="414">
        <f t="shared" si="2"/>
        <v>3.8382283262219735E-2</v>
      </c>
      <c r="K58" s="386"/>
      <c r="L58" s="386"/>
      <c r="M58" s="386"/>
      <c r="N58" s="386"/>
      <c r="O58" s="386"/>
    </row>
    <row r="59" spans="1:15">
      <c r="A59" s="411">
        <v>1</v>
      </c>
      <c r="B59" s="411">
        <v>3</v>
      </c>
      <c r="C59" s="411">
        <v>3</v>
      </c>
      <c r="D59" s="526">
        <v>0.3</v>
      </c>
      <c r="E59" s="415">
        <v>1.1000000000000001</v>
      </c>
      <c r="F59" s="411">
        <v>-0.05</v>
      </c>
      <c r="G59" s="412">
        <f t="shared" si="1"/>
        <v>0.3135</v>
      </c>
      <c r="H59" s="386"/>
      <c r="I59" s="413">
        <v>2</v>
      </c>
      <c r="J59" s="414">
        <f t="shared" si="2"/>
        <v>3.6019138878928221E-2</v>
      </c>
      <c r="K59" s="386"/>
      <c r="L59" s="386"/>
      <c r="M59" s="386"/>
      <c r="N59" s="386"/>
      <c r="O59" s="386"/>
    </row>
    <row r="60" spans="1:15">
      <c r="A60" s="411">
        <v>1</v>
      </c>
      <c r="B60" s="411">
        <v>3</v>
      </c>
      <c r="C60" s="411">
        <v>4</v>
      </c>
      <c r="D60" s="526">
        <v>0.3</v>
      </c>
      <c r="E60" s="415">
        <v>1.1000000000000001</v>
      </c>
      <c r="F60" s="411">
        <v>-0.1</v>
      </c>
      <c r="G60" s="412">
        <f t="shared" si="1"/>
        <v>0.29700000000000004</v>
      </c>
      <c r="H60" s="386"/>
      <c r="I60" s="413">
        <v>2</v>
      </c>
      <c r="J60" s="414">
        <f t="shared" si="2"/>
        <v>3.4890701112237875E-2</v>
      </c>
      <c r="K60" s="386"/>
      <c r="L60" s="386"/>
      <c r="M60" s="386"/>
      <c r="N60" s="386"/>
      <c r="O60" s="386"/>
    </row>
    <row r="61" spans="1:15">
      <c r="A61" s="411">
        <v>1</v>
      </c>
      <c r="B61" s="411">
        <v>4</v>
      </c>
      <c r="C61" s="411">
        <v>1</v>
      </c>
      <c r="D61" s="526">
        <v>0.3</v>
      </c>
      <c r="E61" s="415">
        <v>1.05</v>
      </c>
      <c r="F61" s="411">
        <v>0.15</v>
      </c>
      <c r="G61" s="412">
        <f t="shared" si="1"/>
        <v>0.36225000000000002</v>
      </c>
      <c r="H61" s="386"/>
      <c r="I61" s="413">
        <v>2</v>
      </c>
      <c r="J61" s="414">
        <f t="shared" si="2"/>
        <v>3.9561975709640242E-2</v>
      </c>
      <c r="K61" s="386"/>
      <c r="L61" s="386"/>
      <c r="M61" s="386"/>
      <c r="N61" s="386"/>
      <c r="O61" s="386"/>
    </row>
    <row r="62" spans="1:15">
      <c r="A62" s="411">
        <v>1</v>
      </c>
      <c r="B62" s="411">
        <v>4</v>
      </c>
      <c r="C62" s="411">
        <v>2</v>
      </c>
      <c r="D62" s="526">
        <v>0.3</v>
      </c>
      <c r="E62" s="415">
        <v>1.05</v>
      </c>
      <c r="F62" s="411">
        <v>0.05</v>
      </c>
      <c r="G62" s="412">
        <f t="shared" si="1"/>
        <v>0.33074999999999999</v>
      </c>
      <c r="H62" s="386"/>
      <c r="I62" s="413">
        <v>2</v>
      </c>
      <c r="J62" s="414">
        <f t="shared" si="2"/>
        <v>3.7236404058793436E-2</v>
      </c>
      <c r="K62" s="386"/>
      <c r="L62" s="386"/>
      <c r="M62" s="386"/>
      <c r="N62" s="386"/>
      <c r="O62" s="386"/>
    </row>
    <row r="63" spans="1:15">
      <c r="A63" s="411">
        <v>1</v>
      </c>
      <c r="B63" s="411">
        <v>4</v>
      </c>
      <c r="C63" s="411">
        <v>3</v>
      </c>
      <c r="D63" s="526">
        <v>0.3</v>
      </c>
      <c r="E63" s="415">
        <v>1.05</v>
      </c>
      <c r="F63" s="411">
        <v>-0.05</v>
      </c>
      <c r="G63" s="412">
        <f t="shared" si="1"/>
        <v>0.29925000000000002</v>
      </c>
      <c r="H63" s="386"/>
      <c r="I63" s="413">
        <v>2</v>
      </c>
      <c r="J63" s="414">
        <f t="shared" si="2"/>
        <v>3.5042548702159143E-2</v>
      </c>
      <c r="K63" s="386"/>
      <c r="L63" s="386"/>
      <c r="M63" s="386"/>
      <c r="N63" s="386"/>
      <c r="O63" s="386"/>
    </row>
    <row r="64" spans="1:15">
      <c r="A64" s="411">
        <v>1</v>
      </c>
      <c r="B64" s="411">
        <v>4</v>
      </c>
      <c r="C64" s="411">
        <v>4</v>
      </c>
      <c r="D64" s="526">
        <v>0.3</v>
      </c>
      <c r="E64" s="415">
        <v>1.05</v>
      </c>
      <c r="F64" s="411">
        <v>-0.1</v>
      </c>
      <c r="G64" s="412">
        <f t="shared" si="1"/>
        <v>0.28349999999999997</v>
      </c>
      <c r="H64" s="386"/>
      <c r="I64" s="413">
        <v>2</v>
      </c>
      <c r="J64" s="414">
        <f t="shared" si="2"/>
        <v>3.3992850635961205E-2</v>
      </c>
      <c r="K64" s="386"/>
      <c r="L64" s="386"/>
      <c r="M64" s="386"/>
      <c r="N64" s="386"/>
      <c r="O64" s="386"/>
    </row>
    <row r="65" spans="1:15">
      <c r="A65" s="411">
        <v>1</v>
      </c>
      <c r="B65" s="411">
        <v>5</v>
      </c>
      <c r="C65" s="411">
        <v>1</v>
      </c>
      <c r="D65" s="526">
        <v>0.3</v>
      </c>
      <c r="E65" s="415">
        <v>1</v>
      </c>
      <c r="F65" s="411">
        <v>0.15</v>
      </c>
      <c r="G65" s="412">
        <f t="shared" si="1"/>
        <v>0.34499999999999997</v>
      </c>
      <c r="H65" s="386"/>
      <c r="I65" s="413">
        <v>2</v>
      </c>
      <c r="J65" s="414">
        <f t="shared" si="2"/>
        <v>3.8271709223175153E-2</v>
      </c>
      <c r="K65" s="386"/>
      <c r="L65" s="386"/>
      <c r="M65" s="386"/>
      <c r="N65" s="386"/>
      <c r="O65" s="386"/>
    </row>
    <row r="66" spans="1:15">
      <c r="A66" s="411">
        <v>1</v>
      </c>
      <c r="B66" s="411">
        <v>5</v>
      </c>
      <c r="C66" s="411">
        <v>2</v>
      </c>
      <c r="D66" s="526">
        <v>0.3</v>
      </c>
      <c r="E66" s="415">
        <v>1</v>
      </c>
      <c r="F66" s="411">
        <v>0.05</v>
      </c>
      <c r="G66" s="412">
        <f t="shared" si="1"/>
        <v>0.315</v>
      </c>
      <c r="H66" s="386"/>
      <c r="I66" s="413">
        <v>2</v>
      </c>
      <c r="J66" s="414">
        <f t="shared" si="2"/>
        <v>3.6123449276319497E-2</v>
      </c>
      <c r="K66" s="386"/>
      <c r="L66" s="386"/>
      <c r="M66" s="386"/>
      <c r="N66" s="386"/>
      <c r="O66" s="386"/>
    </row>
    <row r="67" spans="1:15">
      <c r="A67" s="411">
        <v>1</v>
      </c>
      <c r="B67" s="411">
        <v>5</v>
      </c>
      <c r="C67" s="411">
        <v>3</v>
      </c>
      <c r="D67" s="526">
        <v>0.3</v>
      </c>
      <c r="E67" s="415">
        <v>1</v>
      </c>
      <c r="F67" s="411">
        <v>-0.05</v>
      </c>
      <c r="G67" s="412">
        <f t="shared" si="1"/>
        <v>0.28499999999999998</v>
      </c>
      <c r="H67" s="386"/>
      <c r="I67" s="413">
        <v>2</v>
      </c>
      <c r="J67" s="414">
        <f t="shared" si="2"/>
        <v>3.4091500486805967E-2</v>
      </c>
      <c r="K67" s="386"/>
      <c r="L67" s="386"/>
      <c r="M67" s="386"/>
      <c r="N67" s="386"/>
      <c r="O67" s="386"/>
    </row>
    <row r="68" spans="1:15">
      <c r="A68" s="411">
        <v>1</v>
      </c>
      <c r="B68" s="411">
        <v>5</v>
      </c>
      <c r="C68" s="411">
        <v>4</v>
      </c>
      <c r="D68" s="526">
        <v>0.3</v>
      </c>
      <c r="E68" s="415">
        <v>1</v>
      </c>
      <c r="F68" s="411">
        <v>-0.1</v>
      </c>
      <c r="G68" s="412">
        <f t="shared" si="1"/>
        <v>0.27</v>
      </c>
      <c r="H68" s="386"/>
      <c r="I68" s="413">
        <v>2</v>
      </c>
      <c r="J68" s="414">
        <f t="shared" si="2"/>
        <v>3.3117311929283272E-2</v>
      </c>
      <c r="K68" s="386"/>
      <c r="L68" s="386"/>
      <c r="M68" s="386"/>
      <c r="N68" s="386"/>
      <c r="O68" s="386"/>
    </row>
    <row r="69" spans="1:15">
      <c r="A69" s="411">
        <v>2</v>
      </c>
      <c r="B69" s="411">
        <v>1</v>
      </c>
      <c r="C69" s="411">
        <v>1</v>
      </c>
      <c r="D69" s="526">
        <v>1.55</v>
      </c>
      <c r="E69" s="411">
        <v>1.6</v>
      </c>
      <c r="F69" s="411">
        <v>0.15</v>
      </c>
      <c r="G69" s="412">
        <f t="shared" si="1"/>
        <v>2.8520000000000003</v>
      </c>
      <c r="H69" s="386"/>
      <c r="I69" s="413">
        <v>2</v>
      </c>
      <c r="J69" s="414">
        <f t="shared" si="2"/>
        <v>0.85692470084734329</v>
      </c>
      <c r="K69" s="386"/>
      <c r="L69" s="386"/>
      <c r="M69" s="386"/>
      <c r="N69" s="386"/>
      <c r="O69" s="386"/>
    </row>
    <row r="70" spans="1:15">
      <c r="A70" s="411">
        <v>2</v>
      </c>
      <c r="B70" s="411">
        <v>1</v>
      </c>
      <c r="C70" s="411">
        <v>2</v>
      </c>
      <c r="D70" s="526">
        <v>1.55</v>
      </c>
      <c r="E70" s="411">
        <v>1.6</v>
      </c>
      <c r="F70" s="411">
        <v>0.05</v>
      </c>
      <c r="G70" s="412">
        <f t="shared" si="1"/>
        <v>2.6040000000000005</v>
      </c>
      <c r="H70" s="386"/>
      <c r="I70" s="413">
        <v>2</v>
      </c>
      <c r="J70" s="414">
        <f t="shared" si="2"/>
        <v>0.78481991335713375</v>
      </c>
      <c r="K70" s="386"/>
      <c r="L70" s="386"/>
      <c r="M70" s="386"/>
      <c r="N70" s="386"/>
      <c r="O70" s="386"/>
    </row>
    <row r="71" spans="1:15">
      <c r="A71" s="411">
        <v>2</v>
      </c>
      <c r="B71" s="411">
        <v>1</v>
      </c>
      <c r="C71" s="411">
        <v>3</v>
      </c>
      <c r="D71" s="526">
        <v>1.55</v>
      </c>
      <c r="E71" s="411">
        <v>1.6</v>
      </c>
      <c r="F71" s="411">
        <v>-0.05</v>
      </c>
      <c r="G71" s="412">
        <f t="shared" si="1"/>
        <v>2.3560000000000003</v>
      </c>
      <c r="H71" s="386"/>
      <c r="I71" s="413">
        <v>2</v>
      </c>
      <c r="J71" s="414">
        <f t="shared" si="2"/>
        <v>0.68954200200142457</v>
      </c>
      <c r="K71" s="386"/>
      <c r="L71" s="386"/>
      <c r="M71" s="386"/>
      <c r="N71" s="386"/>
      <c r="O71" s="386"/>
    </row>
    <row r="72" spans="1:15">
      <c r="A72" s="411">
        <v>2</v>
      </c>
      <c r="B72" s="411">
        <v>1</v>
      </c>
      <c r="C72" s="411">
        <v>4</v>
      </c>
      <c r="D72" s="526">
        <v>1.55</v>
      </c>
      <c r="E72" s="411">
        <v>1.6</v>
      </c>
      <c r="F72" s="411">
        <v>-0.1</v>
      </c>
      <c r="G72" s="412">
        <f t="shared" si="1"/>
        <v>2.2320000000000002</v>
      </c>
      <c r="H72" s="386"/>
      <c r="I72" s="413">
        <v>2</v>
      </c>
      <c r="J72" s="414">
        <f t="shared" si="2"/>
        <v>0.63413071695942669</v>
      </c>
      <c r="K72" s="386"/>
      <c r="L72" s="386"/>
      <c r="M72" s="386"/>
      <c r="N72" s="386"/>
      <c r="O72" s="386"/>
    </row>
    <row r="73" spans="1:15">
      <c r="A73" s="411">
        <v>2</v>
      </c>
      <c r="B73" s="411">
        <v>2</v>
      </c>
      <c r="C73" s="411">
        <v>1</v>
      </c>
      <c r="D73" s="526">
        <v>1.55</v>
      </c>
      <c r="E73" s="415">
        <v>1.25</v>
      </c>
      <c r="F73" s="411">
        <v>0.15</v>
      </c>
      <c r="G73" s="412">
        <f t="shared" si="1"/>
        <v>2.2281249999999999</v>
      </c>
      <c r="H73" s="386"/>
      <c r="I73" s="413">
        <v>2</v>
      </c>
      <c r="J73" s="414">
        <f t="shared" si="2"/>
        <v>0.63233078554779454</v>
      </c>
      <c r="K73" s="386"/>
      <c r="L73" s="386"/>
      <c r="M73" s="386"/>
      <c r="N73" s="386"/>
      <c r="O73" s="386"/>
    </row>
    <row r="74" spans="1:15">
      <c r="A74" s="411">
        <v>2</v>
      </c>
      <c r="B74" s="411">
        <v>2</v>
      </c>
      <c r="C74" s="411">
        <v>2</v>
      </c>
      <c r="D74" s="526">
        <v>1.55</v>
      </c>
      <c r="E74" s="415">
        <v>1.25</v>
      </c>
      <c r="F74" s="411">
        <v>0.05</v>
      </c>
      <c r="G74" s="412">
        <f t="shared" si="1"/>
        <v>2.0343749999999998</v>
      </c>
      <c r="H74" s="386"/>
      <c r="I74" s="413">
        <v>2</v>
      </c>
      <c r="J74" s="414">
        <f t="shared" si="2"/>
        <v>0.53860525779005175</v>
      </c>
      <c r="K74" s="386"/>
      <c r="L74" s="386"/>
      <c r="M74" s="386"/>
      <c r="N74" s="386"/>
      <c r="O74" s="386"/>
    </row>
    <row r="75" spans="1:15">
      <c r="A75" s="411">
        <v>2</v>
      </c>
      <c r="B75" s="411">
        <v>2</v>
      </c>
      <c r="C75" s="411">
        <v>3</v>
      </c>
      <c r="D75" s="526">
        <v>1.55</v>
      </c>
      <c r="E75" s="415">
        <v>1.25</v>
      </c>
      <c r="F75" s="411">
        <v>-0.05</v>
      </c>
      <c r="G75" s="412">
        <f t="shared" si="1"/>
        <v>1.840625</v>
      </c>
      <c r="H75" s="386"/>
      <c r="I75" s="413">
        <v>2</v>
      </c>
      <c r="J75" s="414">
        <f t="shared" si="2"/>
        <v>0.44206858372396379</v>
      </c>
      <c r="K75" s="386"/>
      <c r="L75" s="386"/>
      <c r="M75" s="386"/>
      <c r="N75" s="386"/>
      <c r="O75" s="386"/>
    </row>
    <row r="76" spans="1:15">
      <c r="A76" s="411">
        <v>2</v>
      </c>
      <c r="B76" s="411">
        <v>2</v>
      </c>
      <c r="C76" s="411">
        <v>4</v>
      </c>
      <c r="D76" s="526">
        <v>1.55</v>
      </c>
      <c r="E76" s="415">
        <v>1.25</v>
      </c>
      <c r="F76" s="411">
        <v>-0.1</v>
      </c>
      <c r="G76" s="412">
        <f t="shared" si="1"/>
        <v>1.7437499999999999</v>
      </c>
      <c r="H76" s="386"/>
      <c r="I76" s="413">
        <v>2</v>
      </c>
      <c r="J76" s="414">
        <f t="shared" si="2"/>
        <v>0.39495738798011198</v>
      </c>
      <c r="K76" s="386"/>
      <c r="L76" s="386"/>
      <c r="M76" s="386"/>
      <c r="N76" s="386"/>
      <c r="O76" s="386"/>
    </row>
    <row r="77" spans="1:15">
      <c r="A77" s="411">
        <v>2</v>
      </c>
      <c r="B77" s="411">
        <v>3</v>
      </c>
      <c r="C77" s="411">
        <v>1</v>
      </c>
      <c r="D77" s="526">
        <v>1.55</v>
      </c>
      <c r="E77" s="415">
        <v>1.1000000000000001</v>
      </c>
      <c r="F77" s="411">
        <v>0.15</v>
      </c>
      <c r="G77" s="412">
        <f t="shared" si="1"/>
        <v>1.9607500000000004</v>
      </c>
      <c r="H77" s="386"/>
      <c r="I77" s="413">
        <v>2</v>
      </c>
      <c r="J77" s="414">
        <f t="shared" si="2"/>
        <v>0.50186973926193157</v>
      </c>
      <c r="K77" s="386"/>
      <c r="L77" s="386"/>
      <c r="M77" s="386"/>
      <c r="N77" s="386"/>
      <c r="O77" s="386"/>
    </row>
    <row r="78" spans="1:15">
      <c r="A78" s="411">
        <v>2</v>
      </c>
      <c r="B78" s="411">
        <v>3</v>
      </c>
      <c r="C78" s="411">
        <v>2</v>
      </c>
      <c r="D78" s="526">
        <v>1.55</v>
      </c>
      <c r="E78" s="415">
        <v>1.1000000000000001</v>
      </c>
      <c r="F78" s="411">
        <v>0.05</v>
      </c>
      <c r="G78" s="412">
        <f t="shared" si="1"/>
        <v>1.7902500000000003</v>
      </c>
      <c r="H78" s="386"/>
      <c r="I78" s="413">
        <v>2</v>
      </c>
      <c r="J78" s="414">
        <f t="shared" si="2"/>
        <v>0.41738415509195703</v>
      </c>
      <c r="K78" s="386"/>
      <c r="L78" s="386"/>
      <c r="M78" s="386"/>
      <c r="N78" s="386"/>
      <c r="O78" s="386"/>
    </row>
    <row r="79" spans="1:15">
      <c r="A79" s="411">
        <v>2</v>
      </c>
      <c r="B79" s="411">
        <v>3</v>
      </c>
      <c r="C79" s="411">
        <v>3</v>
      </c>
      <c r="D79" s="526">
        <v>1.55</v>
      </c>
      <c r="E79" s="415">
        <v>1.1000000000000001</v>
      </c>
      <c r="F79" s="411">
        <v>-0.05</v>
      </c>
      <c r="G79" s="412">
        <f t="shared" si="1"/>
        <v>1.6197500000000002</v>
      </c>
      <c r="H79" s="386"/>
      <c r="I79" s="413">
        <v>2</v>
      </c>
      <c r="J79" s="414">
        <f t="shared" si="2"/>
        <v>0.33748525179291816</v>
      </c>
      <c r="K79" s="386"/>
      <c r="L79" s="386"/>
      <c r="M79" s="386"/>
      <c r="N79" s="386"/>
      <c r="O79" s="386"/>
    </row>
    <row r="80" spans="1:15">
      <c r="A80" s="411">
        <v>2</v>
      </c>
      <c r="B80" s="411">
        <v>3</v>
      </c>
      <c r="C80" s="411">
        <v>4</v>
      </c>
      <c r="D80" s="526">
        <v>1.55</v>
      </c>
      <c r="E80" s="415">
        <v>1.1000000000000001</v>
      </c>
      <c r="F80" s="411">
        <v>-0.1</v>
      </c>
      <c r="G80" s="412">
        <f t="shared" si="1"/>
        <v>1.5345000000000002</v>
      </c>
      <c r="H80" s="386"/>
      <c r="I80" s="413">
        <v>2</v>
      </c>
      <c r="J80" s="414">
        <f t="shared" si="2"/>
        <v>0.30047835660505551</v>
      </c>
      <c r="K80" s="386"/>
      <c r="L80" s="386"/>
      <c r="M80" s="386"/>
      <c r="N80" s="386"/>
      <c r="O80" s="386"/>
    </row>
    <row r="81" spans="1:15">
      <c r="A81" s="411">
        <v>2</v>
      </c>
      <c r="B81" s="411">
        <v>4</v>
      </c>
      <c r="C81" s="411">
        <v>1</v>
      </c>
      <c r="D81" s="526">
        <v>1.55</v>
      </c>
      <c r="E81" s="415">
        <v>1.05</v>
      </c>
      <c r="F81" s="411">
        <v>0.15</v>
      </c>
      <c r="G81" s="412">
        <f t="shared" ref="G81:G112" si="3">D81*(E81)+(D81*E81*F81)</f>
        <v>1.8716250000000001</v>
      </c>
      <c r="H81" s="386"/>
      <c r="I81" s="413">
        <v>2</v>
      </c>
      <c r="J81" s="414">
        <f t="shared" ref="J81:J112" si="4">$B$7/(1+$D$7*EXP(-G81*I81))</f>
        <v>0.45741069942068763</v>
      </c>
      <c r="K81" s="386"/>
      <c r="L81" s="386"/>
      <c r="M81" s="386"/>
      <c r="N81" s="386"/>
      <c r="O81" s="386"/>
    </row>
    <row r="82" spans="1:15">
      <c r="A82" s="411">
        <v>2</v>
      </c>
      <c r="B82" s="411">
        <v>4</v>
      </c>
      <c r="C82" s="411">
        <v>2</v>
      </c>
      <c r="D82" s="526">
        <v>1.55</v>
      </c>
      <c r="E82" s="415">
        <v>1.05</v>
      </c>
      <c r="F82" s="411">
        <v>0.05</v>
      </c>
      <c r="G82" s="412">
        <f t="shared" si="3"/>
        <v>1.7088750000000001</v>
      </c>
      <c r="H82" s="386"/>
      <c r="I82" s="413">
        <v>2</v>
      </c>
      <c r="J82" s="414">
        <f t="shared" si="4"/>
        <v>0.37841739508056849</v>
      </c>
      <c r="K82" s="386"/>
      <c r="L82" s="386"/>
      <c r="M82" s="386"/>
      <c r="N82" s="386"/>
      <c r="O82" s="386"/>
    </row>
    <row r="83" spans="1:15">
      <c r="A83" s="411">
        <v>2</v>
      </c>
      <c r="B83" s="411">
        <v>4</v>
      </c>
      <c r="C83" s="411">
        <v>3</v>
      </c>
      <c r="D83" s="526">
        <v>1.55</v>
      </c>
      <c r="E83" s="415">
        <v>1.05</v>
      </c>
      <c r="F83" s="411">
        <v>-0.05</v>
      </c>
      <c r="G83" s="412">
        <f t="shared" si="3"/>
        <v>1.5461250000000002</v>
      </c>
      <c r="H83" s="386"/>
      <c r="I83" s="413">
        <v>2</v>
      </c>
      <c r="J83" s="414">
        <f t="shared" si="4"/>
        <v>0.30538785340351937</v>
      </c>
      <c r="K83" s="386"/>
      <c r="L83" s="386"/>
      <c r="M83" s="386"/>
      <c r="N83" s="386"/>
      <c r="O83" s="386"/>
    </row>
    <row r="84" spans="1:15">
      <c r="A84" s="411">
        <v>2</v>
      </c>
      <c r="B84" s="411">
        <v>4</v>
      </c>
      <c r="C84" s="411">
        <v>4</v>
      </c>
      <c r="D84" s="526">
        <v>1.55</v>
      </c>
      <c r="E84" s="415">
        <v>1.05</v>
      </c>
      <c r="F84" s="411">
        <v>-0.1</v>
      </c>
      <c r="G84" s="412">
        <f t="shared" si="3"/>
        <v>1.4647500000000002</v>
      </c>
      <c r="H84" s="386"/>
      <c r="I84" s="413">
        <v>2</v>
      </c>
      <c r="J84" s="414">
        <f t="shared" si="4"/>
        <v>0.27199563848383879</v>
      </c>
      <c r="K84" s="386"/>
      <c r="L84" s="386"/>
      <c r="M84" s="386"/>
      <c r="N84" s="386"/>
      <c r="O84" s="386"/>
    </row>
    <row r="85" spans="1:15">
      <c r="A85" s="411">
        <v>2</v>
      </c>
      <c r="B85" s="411">
        <v>5</v>
      </c>
      <c r="C85" s="411">
        <v>1</v>
      </c>
      <c r="D85" s="526">
        <v>1.55</v>
      </c>
      <c r="E85" s="415">
        <v>1</v>
      </c>
      <c r="F85" s="411">
        <v>0.15</v>
      </c>
      <c r="G85" s="412">
        <f t="shared" si="3"/>
        <v>1.7825</v>
      </c>
      <c r="H85" s="386"/>
      <c r="I85" s="413">
        <v>2</v>
      </c>
      <c r="J85" s="414">
        <f t="shared" si="4"/>
        <v>0.41361984418441428</v>
      </c>
      <c r="K85" s="386"/>
      <c r="L85" s="386"/>
      <c r="M85" s="386"/>
      <c r="N85" s="386"/>
      <c r="O85" s="386"/>
    </row>
    <row r="86" spans="1:15">
      <c r="A86" s="411">
        <v>2</v>
      </c>
      <c r="B86" s="411">
        <v>5</v>
      </c>
      <c r="C86" s="411">
        <v>2</v>
      </c>
      <c r="D86" s="526">
        <v>1.55</v>
      </c>
      <c r="E86" s="415">
        <v>1</v>
      </c>
      <c r="F86" s="411">
        <v>0.05</v>
      </c>
      <c r="G86" s="412">
        <f t="shared" si="3"/>
        <v>1.6274999999999999</v>
      </c>
      <c r="H86" s="386"/>
      <c r="I86" s="413">
        <v>2</v>
      </c>
      <c r="J86" s="414">
        <f t="shared" si="4"/>
        <v>0.34095956277714012</v>
      </c>
      <c r="K86" s="386"/>
      <c r="L86" s="386"/>
      <c r="M86" s="386"/>
      <c r="N86" s="386"/>
      <c r="O86" s="386"/>
    </row>
    <row r="87" spans="1:15">
      <c r="A87" s="411">
        <v>2</v>
      </c>
      <c r="B87" s="411">
        <v>5</v>
      </c>
      <c r="C87" s="411">
        <v>3</v>
      </c>
      <c r="D87" s="526">
        <v>1.55</v>
      </c>
      <c r="E87" s="415">
        <v>1</v>
      </c>
      <c r="F87" s="411">
        <v>-0.05</v>
      </c>
      <c r="G87" s="412">
        <f t="shared" si="3"/>
        <v>1.4725000000000001</v>
      </c>
      <c r="H87" s="386"/>
      <c r="I87" s="413">
        <v>2</v>
      </c>
      <c r="J87" s="414">
        <f t="shared" si="4"/>
        <v>0.27507567906324465</v>
      </c>
      <c r="K87" s="386"/>
      <c r="L87" s="386"/>
      <c r="M87" s="386"/>
      <c r="N87" s="386"/>
      <c r="O87" s="386"/>
    </row>
    <row r="88" spans="1:15">
      <c r="A88" s="411">
        <v>2</v>
      </c>
      <c r="B88" s="411">
        <v>5</v>
      </c>
      <c r="C88" s="411">
        <v>4</v>
      </c>
      <c r="D88" s="526">
        <v>1.55</v>
      </c>
      <c r="E88" s="415">
        <v>1</v>
      </c>
      <c r="F88" s="411">
        <v>-0.1</v>
      </c>
      <c r="G88" s="412">
        <f t="shared" si="3"/>
        <v>1.395</v>
      </c>
      <c r="H88" s="386"/>
      <c r="I88" s="413">
        <v>2</v>
      </c>
      <c r="J88" s="414">
        <f t="shared" si="4"/>
        <v>0.2452661897994792</v>
      </c>
      <c r="K88" s="386"/>
      <c r="L88" s="386"/>
      <c r="M88" s="386"/>
      <c r="N88" s="386"/>
      <c r="O88" s="386"/>
    </row>
    <row r="89" spans="1:15">
      <c r="A89" s="411">
        <v>3</v>
      </c>
      <c r="B89" s="411">
        <v>1</v>
      </c>
      <c r="C89" s="411">
        <v>1</v>
      </c>
      <c r="D89" s="526">
        <v>2.17</v>
      </c>
      <c r="E89" s="411">
        <v>1.6</v>
      </c>
      <c r="F89" s="411">
        <v>0.15</v>
      </c>
      <c r="G89" s="412">
        <f t="shared" si="3"/>
        <v>3.9927999999999999</v>
      </c>
      <c r="H89" s="386"/>
      <c r="I89" s="413">
        <v>2</v>
      </c>
      <c r="J89" s="414">
        <f t="shared" si="4"/>
        <v>0.98323539917296299</v>
      </c>
      <c r="K89" s="386"/>
      <c r="L89" s="386"/>
      <c r="M89" s="386"/>
      <c r="N89" s="386"/>
      <c r="O89" s="386"/>
    </row>
    <row r="90" spans="1:15">
      <c r="A90" s="411">
        <v>3</v>
      </c>
      <c r="B90" s="411">
        <v>1</v>
      </c>
      <c r="C90" s="411">
        <v>2</v>
      </c>
      <c r="D90" s="526">
        <v>2.17</v>
      </c>
      <c r="E90" s="411">
        <v>1.6</v>
      </c>
      <c r="F90" s="411">
        <v>0.05</v>
      </c>
      <c r="G90" s="412">
        <f t="shared" si="3"/>
        <v>3.6456</v>
      </c>
      <c r="H90" s="386"/>
      <c r="I90" s="413">
        <v>2</v>
      </c>
      <c r="J90" s="414">
        <f t="shared" si="4"/>
        <v>0.96698365951008314</v>
      </c>
      <c r="K90" s="386"/>
      <c r="L90" s="386"/>
      <c r="M90" s="386"/>
      <c r="N90" s="386"/>
      <c r="O90" s="386"/>
    </row>
    <row r="91" spans="1:15">
      <c r="A91" s="411">
        <v>3</v>
      </c>
      <c r="B91" s="411">
        <v>1</v>
      </c>
      <c r="C91" s="411">
        <v>3</v>
      </c>
      <c r="D91" s="526">
        <v>2.17</v>
      </c>
      <c r="E91" s="411">
        <v>1.6</v>
      </c>
      <c r="F91" s="411">
        <v>-0.05</v>
      </c>
      <c r="G91" s="412">
        <f t="shared" si="3"/>
        <v>3.2984</v>
      </c>
      <c r="H91" s="386"/>
      <c r="I91" s="413">
        <v>2</v>
      </c>
      <c r="J91" s="414">
        <f t="shared" si="4"/>
        <v>0.93600279139727816</v>
      </c>
      <c r="K91" s="386"/>
      <c r="L91" s="386"/>
      <c r="M91" s="386"/>
      <c r="N91" s="386"/>
      <c r="O91" s="386"/>
    </row>
    <row r="92" spans="1:15">
      <c r="A92" s="411">
        <v>3</v>
      </c>
      <c r="B92" s="411">
        <v>1</v>
      </c>
      <c r="C92" s="411">
        <v>4</v>
      </c>
      <c r="D92" s="526">
        <v>2.17</v>
      </c>
      <c r="E92" s="411">
        <v>1.6</v>
      </c>
      <c r="F92" s="411">
        <v>-0.1</v>
      </c>
      <c r="G92" s="412">
        <f t="shared" si="3"/>
        <v>3.1248</v>
      </c>
      <c r="H92" s="386"/>
      <c r="I92" s="413">
        <v>2</v>
      </c>
      <c r="J92" s="414">
        <f t="shared" si="4"/>
        <v>0.91178112238910081</v>
      </c>
      <c r="K92" s="386"/>
      <c r="L92" s="386"/>
      <c r="M92" s="386"/>
      <c r="N92" s="386"/>
      <c r="O92" s="386"/>
    </row>
    <row r="93" spans="1:15">
      <c r="A93" s="411">
        <v>3</v>
      </c>
      <c r="B93" s="411">
        <v>2</v>
      </c>
      <c r="C93" s="411">
        <v>1</v>
      </c>
      <c r="D93" s="526">
        <v>2.17</v>
      </c>
      <c r="E93" s="415">
        <v>1.25</v>
      </c>
      <c r="F93" s="411">
        <v>0.15</v>
      </c>
      <c r="G93" s="412">
        <f t="shared" si="3"/>
        <v>3.1193749999999998</v>
      </c>
      <c r="H93" s="386"/>
      <c r="I93" s="413">
        <v>2</v>
      </c>
      <c r="J93" s="414">
        <f t="shared" si="4"/>
        <v>0.91090448037225258</v>
      </c>
      <c r="K93" s="386"/>
      <c r="L93" s="386"/>
      <c r="M93" s="386"/>
      <c r="N93" s="386"/>
      <c r="O93" s="386"/>
    </row>
    <row r="94" spans="1:15">
      <c r="A94" s="411">
        <v>3</v>
      </c>
      <c r="B94" s="411">
        <v>2</v>
      </c>
      <c r="C94" s="411">
        <v>2</v>
      </c>
      <c r="D94" s="526">
        <v>2.17</v>
      </c>
      <c r="E94" s="415">
        <v>1.25</v>
      </c>
      <c r="F94" s="411">
        <v>0.05</v>
      </c>
      <c r="G94" s="412">
        <f t="shared" si="3"/>
        <v>2.848125</v>
      </c>
      <c r="H94" s="386"/>
      <c r="I94" s="413">
        <v>2</v>
      </c>
      <c r="J94" s="414">
        <f t="shared" si="4"/>
        <v>0.85597188308997485</v>
      </c>
      <c r="K94" s="386"/>
      <c r="L94" s="386"/>
      <c r="M94" s="386"/>
      <c r="N94" s="386"/>
      <c r="O94" s="386"/>
    </row>
    <row r="95" spans="1:15">
      <c r="A95" s="411">
        <v>3</v>
      </c>
      <c r="B95" s="411">
        <v>2</v>
      </c>
      <c r="C95" s="411">
        <v>3</v>
      </c>
      <c r="D95" s="526">
        <v>2.17</v>
      </c>
      <c r="E95" s="415">
        <v>1.25</v>
      </c>
      <c r="F95" s="411">
        <v>-0.05</v>
      </c>
      <c r="G95" s="412">
        <f t="shared" si="3"/>
        <v>2.5768749999999998</v>
      </c>
      <c r="H95" s="386"/>
      <c r="I95" s="413">
        <v>2</v>
      </c>
      <c r="J95" s="414">
        <f t="shared" si="4"/>
        <v>0.77551683786543568</v>
      </c>
      <c r="K95" s="386"/>
      <c r="L95" s="386"/>
      <c r="M95" s="386"/>
      <c r="N95" s="386"/>
      <c r="O95" s="386"/>
    </row>
    <row r="96" spans="1:15">
      <c r="A96" s="411">
        <v>3</v>
      </c>
      <c r="B96" s="411">
        <v>2</v>
      </c>
      <c r="C96" s="411">
        <v>4</v>
      </c>
      <c r="D96" s="526">
        <v>2.17</v>
      </c>
      <c r="E96" s="415">
        <v>1.25</v>
      </c>
      <c r="F96" s="411">
        <v>-0.1</v>
      </c>
      <c r="G96" s="412">
        <f t="shared" si="3"/>
        <v>2.4412500000000001</v>
      </c>
      <c r="H96" s="386"/>
      <c r="I96" s="413">
        <v>2</v>
      </c>
      <c r="J96" s="414">
        <f t="shared" si="4"/>
        <v>0.72481622482933761</v>
      </c>
      <c r="K96" s="386"/>
      <c r="L96" s="386"/>
      <c r="M96" s="386"/>
      <c r="N96" s="386"/>
      <c r="O96" s="386"/>
    </row>
    <row r="97" spans="1:15">
      <c r="A97" s="411">
        <v>3</v>
      </c>
      <c r="B97" s="411">
        <v>3</v>
      </c>
      <c r="C97" s="411">
        <v>1</v>
      </c>
      <c r="D97" s="526">
        <v>2.17</v>
      </c>
      <c r="E97" s="415">
        <v>1.1000000000000001</v>
      </c>
      <c r="F97" s="411">
        <v>0.15</v>
      </c>
      <c r="G97" s="412">
        <f t="shared" si="3"/>
        <v>2.74505</v>
      </c>
      <c r="H97" s="386"/>
      <c r="I97" s="413">
        <v>2</v>
      </c>
      <c r="J97" s="414">
        <f t="shared" si="4"/>
        <v>0.82864849060152845</v>
      </c>
      <c r="K97" s="386"/>
      <c r="L97" s="386"/>
      <c r="M97" s="386"/>
      <c r="N97" s="386"/>
      <c r="O97" s="386"/>
    </row>
    <row r="98" spans="1:15">
      <c r="A98" s="411">
        <v>3</v>
      </c>
      <c r="B98" s="411">
        <v>3</v>
      </c>
      <c r="C98" s="411">
        <v>2</v>
      </c>
      <c r="D98" s="526">
        <v>2.17</v>
      </c>
      <c r="E98" s="415">
        <v>1.1000000000000001</v>
      </c>
      <c r="F98" s="411">
        <v>0.05</v>
      </c>
      <c r="G98" s="412">
        <f t="shared" si="3"/>
        <v>2.5063499999999999</v>
      </c>
      <c r="H98" s="386"/>
      <c r="I98" s="413">
        <v>2</v>
      </c>
      <c r="J98" s="414">
        <f t="shared" si="4"/>
        <v>0.75001250664913766</v>
      </c>
      <c r="K98" s="386"/>
      <c r="L98" s="386"/>
      <c r="M98" s="386"/>
      <c r="N98" s="386"/>
      <c r="O98" s="386"/>
    </row>
    <row r="99" spans="1:15">
      <c r="A99" s="411">
        <v>3</v>
      </c>
      <c r="B99" s="411">
        <v>3</v>
      </c>
      <c r="C99" s="411">
        <v>3</v>
      </c>
      <c r="D99" s="526">
        <v>2.17</v>
      </c>
      <c r="E99" s="415">
        <v>1.1000000000000001</v>
      </c>
      <c r="F99" s="411">
        <v>-0.05</v>
      </c>
      <c r="G99" s="412">
        <f t="shared" si="3"/>
        <v>2.2676500000000002</v>
      </c>
      <c r="H99" s="386"/>
      <c r="I99" s="413">
        <v>2</v>
      </c>
      <c r="J99" s="414">
        <f t="shared" si="4"/>
        <v>0.65050937939903941</v>
      </c>
      <c r="K99" s="386"/>
      <c r="L99" s="386"/>
      <c r="M99" s="386"/>
      <c r="N99" s="386"/>
      <c r="O99" s="386"/>
    </row>
    <row r="100" spans="1:15">
      <c r="A100" s="411">
        <v>3</v>
      </c>
      <c r="B100" s="411">
        <v>3</v>
      </c>
      <c r="C100" s="411">
        <v>4</v>
      </c>
      <c r="D100" s="526">
        <v>2.17</v>
      </c>
      <c r="E100" s="415">
        <v>1.1000000000000001</v>
      </c>
      <c r="F100" s="411">
        <v>-0.1</v>
      </c>
      <c r="G100" s="412">
        <f t="shared" si="3"/>
        <v>2.1482999999999999</v>
      </c>
      <c r="H100" s="386"/>
      <c r="I100" s="413">
        <v>2</v>
      </c>
      <c r="J100" s="414">
        <f t="shared" si="4"/>
        <v>0.59449497352521075</v>
      </c>
      <c r="K100" s="386"/>
      <c r="L100" s="386"/>
      <c r="M100" s="386"/>
      <c r="N100" s="386"/>
      <c r="O100" s="386"/>
    </row>
    <row r="101" spans="1:15">
      <c r="A101" s="411">
        <v>3</v>
      </c>
      <c r="B101" s="411">
        <v>4</v>
      </c>
      <c r="C101" s="411">
        <v>1</v>
      </c>
      <c r="D101" s="526">
        <v>2.17</v>
      </c>
      <c r="E101" s="415">
        <v>1.05</v>
      </c>
      <c r="F101" s="411">
        <v>0.15</v>
      </c>
      <c r="G101" s="412">
        <f t="shared" si="3"/>
        <v>2.6202750000000004</v>
      </c>
      <c r="H101" s="386"/>
      <c r="I101" s="413">
        <v>2</v>
      </c>
      <c r="J101" s="414">
        <f t="shared" si="4"/>
        <v>0.79026590973682198</v>
      </c>
      <c r="K101" s="386"/>
      <c r="L101" s="386"/>
      <c r="M101" s="386"/>
      <c r="N101" s="386"/>
      <c r="O101" s="386"/>
    </row>
    <row r="102" spans="1:15">
      <c r="A102" s="411">
        <v>3</v>
      </c>
      <c r="B102" s="411">
        <v>4</v>
      </c>
      <c r="C102" s="411">
        <v>2</v>
      </c>
      <c r="D102" s="526">
        <v>2.17</v>
      </c>
      <c r="E102" s="415">
        <v>1.05</v>
      </c>
      <c r="F102" s="411">
        <v>0.05</v>
      </c>
      <c r="G102" s="412">
        <f t="shared" si="3"/>
        <v>2.3924250000000002</v>
      </c>
      <c r="H102" s="386"/>
      <c r="I102" s="413">
        <v>2</v>
      </c>
      <c r="J102" s="414">
        <f t="shared" si="4"/>
        <v>0.7049181646875724</v>
      </c>
      <c r="K102" s="386"/>
      <c r="L102" s="386"/>
      <c r="M102" s="386"/>
      <c r="N102" s="386"/>
      <c r="O102" s="386"/>
    </row>
    <row r="103" spans="1:15">
      <c r="A103" s="411">
        <v>3</v>
      </c>
      <c r="B103" s="411">
        <v>4</v>
      </c>
      <c r="C103" s="411">
        <v>3</v>
      </c>
      <c r="D103" s="526">
        <v>2.17</v>
      </c>
      <c r="E103" s="415">
        <v>1.05</v>
      </c>
      <c r="F103" s="411">
        <v>-0.05</v>
      </c>
      <c r="G103" s="412">
        <f t="shared" si="3"/>
        <v>2.1645750000000001</v>
      </c>
      <c r="H103" s="386"/>
      <c r="I103" s="413">
        <v>2</v>
      </c>
      <c r="J103" s="414">
        <f t="shared" si="4"/>
        <v>0.60231707488526631</v>
      </c>
      <c r="K103" s="386"/>
      <c r="L103" s="386"/>
      <c r="M103" s="386"/>
      <c r="N103" s="386"/>
      <c r="O103" s="386"/>
    </row>
    <row r="104" spans="1:15">
      <c r="A104" s="411">
        <v>3</v>
      </c>
      <c r="B104" s="411">
        <v>4</v>
      </c>
      <c r="C104" s="411">
        <v>4</v>
      </c>
      <c r="D104" s="526">
        <v>2.17</v>
      </c>
      <c r="E104" s="415">
        <v>1.05</v>
      </c>
      <c r="F104" s="411">
        <v>-0.1</v>
      </c>
      <c r="G104" s="412">
        <f t="shared" si="3"/>
        <v>2.0506500000000001</v>
      </c>
      <c r="H104" s="386"/>
      <c r="I104" s="413">
        <v>2</v>
      </c>
      <c r="J104" s="414">
        <f t="shared" si="4"/>
        <v>0.54668338217858292</v>
      </c>
      <c r="K104" s="386"/>
      <c r="L104" s="386"/>
      <c r="M104" s="386"/>
      <c r="N104" s="386"/>
      <c r="O104" s="386"/>
    </row>
    <row r="105" spans="1:15">
      <c r="A105" s="411">
        <v>3</v>
      </c>
      <c r="B105" s="411">
        <v>5</v>
      </c>
      <c r="C105" s="411">
        <v>1</v>
      </c>
      <c r="D105" s="526">
        <v>2.17</v>
      </c>
      <c r="E105" s="415">
        <v>1</v>
      </c>
      <c r="F105" s="411">
        <v>0.15</v>
      </c>
      <c r="G105" s="412">
        <f t="shared" si="3"/>
        <v>2.4954999999999998</v>
      </c>
      <c r="H105" s="386"/>
      <c r="I105" s="413">
        <v>2</v>
      </c>
      <c r="J105" s="414">
        <f t="shared" si="4"/>
        <v>0.74592186000055194</v>
      </c>
      <c r="K105" s="386"/>
      <c r="L105" s="386"/>
      <c r="M105" s="386"/>
      <c r="N105" s="386"/>
      <c r="O105" s="386"/>
    </row>
    <row r="106" spans="1:15">
      <c r="A106" s="411">
        <v>3</v>
      </c>
      <c r="B106" s="411">
        <v>5</v>
      </c>
      <c r="C106" s="411">
        <v>2</v>
      </c>
      <c r="D106" s="526">
        <v>2.17</v>
      </c>
      <c r="E106" s="415">
        <v>1</v>
      </c>
      <c r="F106" s="411">
        <v>0.05</v>
      </c>
      <c r="G106" s="412">
        <f t="shared" si="3"/>
        <v>2.2784999999999997</v>
      </c>
      <c r="H106" s="386"/>
      <c r="I106" s="413">
        <v>2</v>
      </c>
      <c r="J106" s="414">
        <f t="shared" si="4"/>
        <v>0.65542655499742031</v>
      </c>
      <c r="K106" s="386"/>
      <c r="L106" s="386"/>
      <c r="M106" s="386"/>
      <c r="N106" s="386"/>
      <c r="O106" s="386"/>
    </row>
    <row r="107" spans="1:15">
      <c r="A107" s="411">
        <v>3</v>
      </c>
      <c r="B107" s="411">
        <v>5</v>
      </c>
      <c r="C107" s="411">
        <v>3</v>
      </c>
      <c r="D107" s="526">
        <v>2.17</v>
      </c>
      <c r="E107" s="415">
        <v>1</v>
      </c>
      <c r="F107" s="411">
        <v>-0.05</v>
      </c>
      <c r="G107" s="412">
        <f t="shared" si="3"/>
        <v>2.0615000000000001</v>
      </c>
      <c r="H107" s="386"/>
      <c r="I107" s="413">
        <v>2</v>
      </c>
      <c r="J107" s="414">
        <f t="shared" si="4"/>
        <v>0.55205543768784482</v>
      </c>
      <c r="K107" s="386"/>
      <c r="L107" s="386"/>
      <c r="M107" s="386"/>
      <c r="N107" s="386"/>
      <c r="O107" s="386"/>
    </row>
    <row r="108" spans="1:15">
      <c r="A108" s="411">
        <v>3</v>
      </c>
      <c r="B108" s="411">
        <v>5</v>
      </c>
      <c r="C108" s="411">
        <v>4</v>
      </c>
      <c r="D108" s="526">
        <v>2.17</v>
      </c>
      <c r="E108" s="415">
        <v>1</v>
      </c>
      <c r="F108" s="411">
        <v>-0.1</v>
      </c>
      <c r="G108" s="412">
        <f t="shared" si="3"/>
        <v>1.9529999999999998</v>
      </c>
      <c r="H108" s="386"/>
      <c r="I108" s="413">
        <v>2</v>
      </c>
      <c r="J108" s="414">
        <f t="shared" si="4"/>
        <v>0.49799475872814591</v>
      </c>
      <c r="K108" s="386"/>
      <c r="L108" s="386"/>
      <c r="M108" s="386"/>
      <c r="N108" s="386"/>
      <c r="O108" s="386"/>
    </row>
    <row r="109" spans="1:15">
      <c r="A109" s="411">
        <v>4</v>
      </c>
      <c r="B109" s="411">
        <v>1</v>
      </c>
      <c r="C109" s="411">
        <v>1</v>
      </c>
      <c r="D109" s="526">
        <v>3.81</v>
      </c>
      <c r="E109" s="411">
        <v>1.6</v>
      </c>
      <c r="F109" s="411">
        <v>0.15</v>
      </c>
      <c r="G109" s="412">
        <f t="shared" si="3"/>
        <v>7.0103999999999997</v>
      </c>
      <c r="H109" s="386"/>
      <c r="I109" s="413">
        <v>2</v>
      </c>
      <c r="J109" s="414">
        <f t="shared" si="4"/>
        <v>0.99995919964571334</v>
      </c>
      <c r="K109" s="386"/>
      <c r="L109" s="386"/>
      <c r="M109" s="386"/>
      <c r="N109" s="386"/>
      <c r="O109" s="386"/>
    </row>
    <row r="110" spans="1:15">
      <c r="A110" s="411">
        <v>4</v>
      </c>
      <c r="B110" s="411">
        <v>1</v>
      </c>
      <c r="C110" s="411">
        <v>2</v>
      </c>
      <c r="D110" s="526">
        <v>3.81</v>
      </c>
      <c r="E110" s="411">
        <v>1.6</v>
      </c>
      <c r="F110" s="411">
        <v>0.05</v>
      </c>
      <c r="G110" s="412">
        <f t="shared" si="3"/>
        <v>6.4008000000000003</v>
      </c>
      <c r="H110" s="386"/>
      <c r="I110" s="413">
        <v>2</v>
      </c>
      <c r="J110" s="414">
        <f t="shared" si="4"/>
        <v>0.99986192548792552</v>
      </c>
      <c r="K110" s="386"/>
      <c r="L110" s="386"/>
      <c r="M110" s="386"/>
      <c r="N110" s="386"/>
      <c r="O110" s="386"/>
    </row>
    <row r="111" spans="1:15">
      <c r="A111" s="411">
        <v>4</v>
      </c>
      <c r="B111" s="411">
        <v>1</v>
      </c>
      <c r="C111" s="411">
        <v>3</v>
      </c>
      <c r="D111" s="526">
        <v>3.81</v>
      </c>
      <c r="E111" s="411">
        <v>1.6</v>
      </c>
      <c r="F111" s="411">
        <v>-0.05</v>
      </c>
      <c r="G111" s="412">
        <f t="shared" si="3"/>
        <v>5.7911999999999999</v>
      </c>
      <c r="H111" s="386"/>
      <c r="I111" s="413">
        <v>2</v>
      </c>
      <c r="J111" s="414">
        <f t="shared" si="4"/>
        <v>0.99953284350882476</v>
      </c>
      <c r="K111" s="386"/>
      <c r="L111" s="386"/>
      <c r="M111" s="386"/>
      <c r="N111" s="386"/>
      <c r="O111" s="386"/>
    </row>
    <row r="112" spans="1:15">
      <c r="A112" s="411">
        <v>4</v>
      </c>
      <c r="B112" s="411">
        <v>1</v>
      </c>
      <c r="C112" s="411">
        <v>4</v>
      </c>
      <c r="D112" s="526">
        <v>3.81</v>
      </c>
      <c r="E112" s="411">
        <v>1.6</v>
      </c>
      <c r="F112" s="411">
        <v>-0.1</v>
      </c>
      <c r="G112" s="412">
        <f t="shared" si="3"/>
        <v>5.4863999999999997</v>
      </c>
      <c r="H112" s="386"/>
      <c r="I112" s="413">
        <v>2</v>
      </c>
      <c r="J112" s="414">
        <f t="shared" si="4"/>
        <v>0.99914091135848004</v>
      </c>
      <c r="K112" s="386"/>
      <c r="L112" s="386"/>
      <c r="M112" s="386"/>
      <c r="N112" s="386"/>
      <c r="O112" s="386"/>
    </row>
    <row r="113" spans="1:15">
      <c r="A113" s="411">
        <v>4</v>
      </c>
      <c r="B113" s="411">
        <v>2</v>
      </c>
      <c r="C113" s="411">
        <v>1</v>
      </c>
      <c r="D113" s="526">
        <v>3.81</v>
      </c>
      <c r="E113" s="415">
        <v>1.25</v>
      </c>
      <c r="F113" s="411">
        <v>0.15</v>
      </c>
      <c r="G113" s="412">
        <f t="shared" ref="G113:G128" si="5">D113*(E113)+(D113*E113*F113)</f>
        <v>5.4768749999999997</v>
      </c>
      <c r="H113" s="386"/>
      <c r="I113" s="413">
        <v>2</v>
      </c>
      <c r="J113" s="414">
        <f t="shared" ref="J113:J128" si="6">$B$7/(1+$D$7*EXP(-G113*I113))</f>
        <v>0.99912440330962393</v>
      </c>
      <c r="K113" s="386"/>
      <c r="L113" s="386"/>
      <c r="M113" s="386"/>
      <c r="N113" s="386"/>
      <c r="O113" s="386"/>
    </row>
    <row r="114" spans="1:15">
      <c r="A114" s="411">
        <v>4</v>
      </c>
      <c r="B114" s="411">
        <v>2</v>
      </c>
      <c r="C114" s="411">
        <v>2</v>
      </c>
      <c r="D114" s="526">
        <v>3.81</v>
      </c>
      <c r="E114" s="415">
        <v>1.25</v>
      </c>
      <c r="F114" s="411">
        <v>0.05</v>
      </c>
      <c r="G114" s="412">
        <f t="shared" si="5"/>
        <v>5.0006250000000003</v>
      </c>
      <c r="H114" s="386"/>
      <c r="I114" s="413">
        <v>2</v>
      </c>
      <c r="J114" s="414">
        <f t="shared" si="6"/>
        <v>0.9977334538150916</v>
      </c>
      <c r="K114" s="386"/>
      <c r="L114" s="386"/>
      <c r="M114" s="386"/>
      <c r="N114" s="386"/>
      <c r="O114" s="386"/>
    </row>
    <row r="115" spans="1:15">
      <c r="A115" s="411">
        <v>4</v>
      </c>
      <c r="B115" s="411">
        <v>2</v>
      </c>
      <c r="C115" s="411">
        <v>3</v>
      </c>
      <c r="D115" s="526">
        <v>3.81</v>
      </c>
      <c r="E115" s="415">
        <v>1.25</v>
      </c>
      <c r="F115" s="411">
        <v>-0.05</v>
      </c>
      <c r="G115" s="412">
        <f t="shared" si="5"/>
        <v>4.524375</v>
      </c>
      <c r="H115" s="386"/>
      <c r="I115" s="413">
        <v>2</v>
      </c>
      <c r="J115" s="414">
        <f t="shared" si="6"/>
        <v>0.99414582600506096</v>
      </c>
      <c r="K115" s="386"/>
      <c r="L115" s="386"/>
      <c r="M115" s="386"/>
      <c r="N115" s="386"/>
      <c r="O115" s="386"/>
    </row>
    <row r="116" spans="1:15">
      <c r="A116" s="411">
        <v>4</v>
      </c>
      <c r="B116" s="411">
        <v>2</v>
      </c>
      <c r="C116" s="411">
        <v>4</v>
      </c>
      <c r="D116" s="526">
        <v>3.81</v>
      </c>
      <c r="E116" s="415">
        <v>1.25</v>
      </c>
      <c r="F116" s="411">
        <v>-0.1</v>
      </c>
      <c r="G116" s="412">
        <f t="shared" si="5"/>
        <v>4.2862499999999999</v>
      </c>
      <c r="H116" s="386"/>
      <c r="I116" s="413">
        <v>2</v>
      </c>
      <c r="J116" s="414">
        <f t="shared" si="6"/>
        <v>0.99060817080637431</v>
      </c>
      <c r="K116" s="386"/>
      <c r="L116" s="386"/>
      <c r="M116" s="386"/>
      <c r="N116" s="386"/>
      <c r="O116" s="386"/>
    </row>
    <row r="117" spans="1:15">
      <c r="A117" s="411">
        <v>4</v>
      </c>
      <c r="B117" s="411">
        <v>3</v>
      </c>
      <c r="C117" s="411">
        <v>1</v>
      </c>
      <c r="D117" s="526">
        <v>3.81</v>
      </c>
      <c r="E117" s="415">
        <v>1.1000000000000001</v>
      </c>
      <c r="F117" s="411">
        <v>0.15</v>
      </c>
      <c r="G117" s="412">
        <f t="shared" si="5"/>
        <v>4.8196500000000011</v>
      </c>
      <c r="H117" s="386"/>
      <c r="I117" s="413">
        <v>2</v>
      </c>
      <c r="J117" s="414">
        <f t="shared" si="6"/>
        <v>0.99674816596921323</v>
      </c>
      <c r="K117" s="386"/>
      <c r="L117" s="386"/>
      <c r="M117" s="386"/>
      <c r="N117" s="386"/>
      <c r="O117" s="386"/>
    </row>
    <row r="118" spans="1:15">
      <c r="A118" s="411">
        <v>4</v>
      </c>
      <c r="B118" s="411">
        <v>3</v>
      </c>
      <c r="C118" s="411">
        <v>2</v>
      </c>
      <c r="D118" s="526">
        <v>3.81</v>
      </c>
      <c r="E118" s="415">
        <v>1.1000000000000001</v>
      </c>
      <c r="F118" s="411">
        <v>0.05</v>
      </c>
      <c r="G118" s="412">
        <f t="shared" si="5"/>
        <v>4.4005500000000008</v>
      </c>
      <c r="H118" s="386"/>
      <c r="I118" s="413">
        <v>2</v>
      </c>
      <c r="J118" s="414">
        <f t="shared" si="6"/>
        <v>0.9925130524953214</v>
      </c>
      <c r="K118" s="386"/>
      <c r="L118" s="386"/>
      <c r="M118" s="386"/>
      <c r="N118" s="386"/>
      <c r="O118" s="386"/>
    </row>
    <row r="119" spans="1:15">
      <c r="A119" s="411">
        <v>4</v>
      </c>
      <c r="B119" s="411">
        <v>3</v>
      </c>
      <c r="C119" s="411">
        <v>3</v>
      </c>
      <c r="D119" s="526">
        <v>3.81</v>
      </c>
      <c r="E119" s="415">
        <v>1.1000000000000001</v>
      </c>
      <c r="F119" s="411">
        <v>-0.05</v>
      </c>
      <c r="G119" s="412">
        <f t="shared" si="5"/>
        <v>3.9814500000000006</v>
      </c>
      <c r="H119" s="386"/>
      <c r="I119" s="413">
        <v>2</v>
      </c>
      <c r="J119" s="414">
        <f t="shared" si="6"/>
        <v>0.98285708900374191</v>
      </c>
      <c r="K119" s="386"/>
      <c r="L119" s="386"/>
      <c r="M119" s="386"/>
      <c r="N119" s="386"/>
      <c r="O119" s="386"/>
    </row>
    <row r="120" spans="1:15">
      <c r="A120" s="411">
        <v>4</v>
      </c>
      <c r="B120" s="411">
        <v>3</v>
      </c>
      <c r="C120" s="411">
        <v>4</v>
      </c>
      <c r="D120" s="526">
        <v>3.81</v>
      </c>
      <c r="E120" s="415">
        <v>1.1000000000000001</v>
      </c>
      <c r="F120" s="411">
        <v>-0.1</v>
      </c>
      <c r="G120" s="412">
        <f t="shared" si="5"/>
        <v>3.7719000000000005</v>
      </c>
      <c r="H120" s="386"/>
      <c r="I120" s="413">
        <v>2</v>
      </c>
      <c r="J120" s="414">
        <f t="shared" si="6"/>
        <v>0.97416319944806118</v>
      </c>
      <c r="K120" s="386"/>
      <c r="L120" s="386"/>
      <c r="M120" s="386"/>
      <c r="N120" s="386"/>
      <c r="O120" s="386"/>
    </row>
    <row r="121" spans="1:15">
      <c r="A121" s="411">
        <v>4</v>
      </c>
      <c r="B121" s="411">
        <v>4</v>
      </c>
      <c r="C121" s="411">
        <v>1</v>
      </c>
      <c r="D121" s="526">
        <v>3.81</v>
      </c>
      <c r="E121" s="415">
        <v>1.05</v>
      </c>
      <c r="F121" s="411">
        <v>0.15</v>
      </c>
      <c r="G121" s="412">
        <f t="shared" si="5"/>
        <v>4.600575000000001</v>
      </c>
      <c r="H121" s="386"/>
      <c r="I121" s="413">
        <v>2</v>
      </c>
      <c r="J121" s="414">
        <f t="shared" si="6"/>
        <v>0.99496918111522015</v>
      </c>
      <c r="K121" s="386"/>
      <c r="L121" s="386"/>
      <c r="M121" s="386"/>
      <c r="N121" s="386"/>
      <c r="O121" s="386"/>
    </row>
    <row r="122" spans="1:15">
      <c r="A122" s="411">
        <v>4</v>
      </c>
      <c r="B122" s="411">
        <v>4</v>
      </c>
      <c r="C122" s="411">
        <v>2</v>
      </c>
      <c r="D122" s="526">
        <v>3.81</v>
      </c>
      <c r="E122" s="415">
        <v>1.05</v>
      </c>
      <c r="F122" s="411">
        <v>0.05</v>
      </c>
      <c r="G122" s="412">
        <f t="shared" si="5"/>
        <v>4.2005250000000007</v>
      </c>
      <c r="H122" s="386"/>
      <c r="I122" s="413">
        <v>2</v>
      </c>
      <c r="J122" s="414">
        <f t="shared" si="6"/>
        <v>0.98887121369112674</v>
      </c>
      <c r="K122" s="386"/>
      <c r="L122" s="386"/>
      <c r="M122" s="386"/>
      <c r="N122" s="386"/>
      <c r="O122" s="386"/>
    </row>
    <row r="123" spans="1:15">
      <c r="A123" s="411">
        <v>4</v>
      </c>
      <c r="B123" s="411">
        <v>4</v>
      </c>
      <c r="C123" s="411">
        <v>3</v>
      </c>
      <c r="D123" s="526">
        <v>3.81</v>
      </c>
      <c r="E123" s="415">
        <v>1.05</v>
      </c>
      <c r="F123" s="411">
        <v>-0.05</v>
      </c>
      <c r="G123" s="412">
        <f t="shared" si="5"/>
        <v>3.8004750000000005</v>
      </c>
      <c r="H123" s="386"/>
      <c r="I123" s="413">
        <v>2</v>
      </c>
      <c r="J123" s="414">
        <f t="shared" si="6"/>
        <v>0.97556330106772571</v>
      </c>
      <c r="K123" s="386"/>
      <c r="L123" s="386"/>
      <c r="M123" s="386"/>
      <c r="N123" s="386"/>
      <c r="O123" s="386"/>
    </row>
    <row r="124" spans="1:15">
      <c r="A124" s="411">
        <v>4</v>
      </c>
      <c r="B124" s="411">
        <v>4</v>
      </c>
      <c r="C124" s="411">
        <v>4</v>
      </c>
      <c r="D124" s="526">
        <v>3.81</v>
      </c>
      <c r="E124" s="415">
        <v>1.05</v>
      </c>
      <c r="F124" s="411">
        <v>-0.1</v>
      </c>
      <c r="G124" s="412">
        <f t="shared" si="5"/>
        <v>3.6004500000000004</v>
      </c>
      <c r="H124" s="386"/>
      <c r="I124" s="413">
        <v>2</v>
      </c>
      <c r="J124" s="414">
        <f t="shared" si="6"/>
        <v>0.96397592974429003</v>
      </c>
      <c r="K124" s="386"/>
      <c r="L124" s="386"/>
      <c r="M124" s="386"/>
      <c r="N124" s="386"/>
      <c r="O124" s="386"/>
    </row>
    <row r="125" spans="1:15">
      <c r="A125" s="411">
        <v>4</v>
      </c>
      <c r="B125" s="411">
        <v>5</v>
      </c>
      <c r="C125" s="411">
        <v>1</v>
      </c>
      <c r="D125" s="526">
        <v>3.81</v>
      </c>
      <c r="E125" s="415">
        <v>1</v>
      </c>
      <c r="F125" s="411">
        <v>0.15</v>
      </c>
      <c r="G125" s="412">
        <f t="shared" si="5"/>
        <v>4.3815</v>
      </c>
      <c r="H125" s="386"/>
      <c r="I125" s="413">
        <v>2</v>
      </c>
      <c r="J125" s="414">
        <f t="shared" si="6"/>
        <v>0.99222455681663202</v>
      </c>
      <c r="K125" s="386"/>
      <c r="L125" s="386"/>
      <c r="M125" s="386"/>
      <c r="N125" s="386"/>
      <c r="O125" s="386"/>
    </row>
    <row r="126" spans="1:15">
      <c r="A126" s="411">
        <v>4</v>
      </c>
      <c r="B126" s="411">
        <v>5</v>
      </c>
      <c r="C126" s="411">
        <v>2</v>
      </c>
      <c r="D126" s="526">
        <v>3.81</v>
      </c>
      <c r="E126" s="415">
        <v>1</v>
      </c>
      <c r="F126" s="411">
        <v>0.05</v>
      </c>
      <c r="G126" s="412">
        <f t="shared" si="5"/>
        <v>4.0004999999999997</v>
      </c>
      <c r="H126" s="386"/>
      <c r="I126" s="413">
        <v>2</v>
      </c>
      <c r="J126" s="414">
        <f t="shared" si="6"/>
        <v>0.98348736575641271</v>
      </c>
      <c r="K126" s="386"/>
      <c r="L126" s="386"/>
      <c r="M126" s="386"/>
      <c r="N126" s="386"/>
      <c r="O126" s="386"/>
    </row>
    <row r="127" spans="1:15">
      <c r="A127" s="411">
        <v>4</v>
      </c>
      <c r="B127" s="411">
        <v>5</v>
      </c>
      <c r="C127" s="411">
        <v>3</v>
      </c>
      <c r="D127" s="526">
        <v>3.81</v>
      </c>
      <c r="E127" s="415">
        <v>1</v>
      </c>
      <c r="F127" s="411">
        <v>-0.05</v>
      </c>
      <c r="G127" s="412">
        <f t="shared" si="5"/>
        <v>3.6194999999999999</v>
      </c>
      <c r="H127" s="386"/>
      <c r="I127" s="413">
        <v>2</v>
      </c>
      <c r="J127" s="414">
        <f t="shared" si="6"/>
        <v>0.96527586631660145</v>
      </c>
      <c r="K127" s="386"/>
      <c r="L127" s="386"/>
      <c r="M127" s="386"/>
      <c r="N127" s="386"/>
      <c r="O127" s="386"/>
    </row>
    <row r="128" spans="1:15">
      <c r="A128" s="411">
        <v>4</v>
      </c>
      <c r="B128" s="411">
        <v>5</v>
      </c>
      <c r="C128" s="411">
        <v>4</v>
      </c>
      <c r="D128" s="526">
        <v>3.81</v>
      </c>
      <c r="E128" s="415">
        <v>1</v>
      </c>
      <c r="F128" s="411">
        <v>-0.1</v>
      </c>
      <c r="G128" s="412">
        <f t="shared" si="5"/>
        <v>3.4290000000000003</v>
      </c>
      <c r="H128" s="386"/>
      <c r="I128" s="413">
        <v>2</v>
      </c>
      <c r="J128" s="414">
        <f t="shared" si="6"/>
        <v>0.9499781460820298</v>
      </c>
      <c r="K128" s="386"/>
      <c r="L128" s="386"/>
      <c r="M128" s="386"/>
      <c r="N128" s="386"/>
      <c r="O128" s="386"/>
    </row>
    <row r="129" spans="1:15">
      <c r="A129" s="386"/>
      <c r="B129" s="386"/>
      <c r="C129" s="386"/>
      <c r="D129" s="386"/>
      <c r="E129" s="386"/>
      <c r="F129" s="386"/>
      <c r="G129" s="386"/>
      <c r="H129" s="386"/>
      <c r="I129" s="416"/>
      <c r="J129" s="417"/>
      <c r="K129" s="386"/>
      <c r="L129" s="386"/>
      <c r="M129" s="386"/>
      <c r="N129" s="386"/>
      <c r="O129" s="386"/>
    </row>
    <row r="130" spans="1:15">
      <c r="A130" s="386"/>
      <c r="B130" s="386"/>
      <c r="C130" s="386"/>
      <c r="D130" s="386"/>
      <c r="E130" s="386"/>
      <c r="F130" s="386"/>
      <c r="G130" s="386"/>
      <c r="H130" s="386"/>
      <c r="I130" s="416"/>
      <c r="J130" s="417"/>
      <c r="K130" s="386"/>
      <c r="L130" s="386"/>
      <c r="M130" s="386"/>
      <c r="N130" s="386"/>
      <c r="O130" s="386"/>
    </row>
    <row r="131" spans="1:15">
      <c r="A131" s="386"/>
      <c r="B131" s="386"/>
      <c r="C131" s="386"/>
      <c r="D131" s="386"/>
      <c r="E131" s="386"/>
      <c r="F131" s="386"/>
      <c r="G131" s="386"/>
      <c r="H131" s="386"/>
      <c r="I131" s="416"/>
      <c r="J131" s="417"/>
      <c r="K131" s="386"/>
      <c r="L131" s="386"/>
      <c r="M131" s="386"/>
      <c r="N131" s="386"/>
      <c r="O131" s="386"/>
    </row>
    <row r="132" spans="1:15">
      <c r="A132" s="386"/>
      <c r="B132" s="386"/>
      <c r="C132" s="386"/>
      <c r="D132" s="386"/>
      <c r="E132" s="386"/>
      <c r="F132" s="386"/>
      <c r="G132" s="386"/>
      <c r="H132" s="386"/>
      <c r="I132" s="416"/>
      <c r="J132" s="417"/>
      <c r="K132" s="386"/>
      <c r="L132" s="386"/>
      <c r="M132" s="386"/>
      <c r="N132" s="386"/>
      <c r="O132" s="386"/>
    </row>
    <row r="133" spans="1:15">
      <c r="A133" s="386"/>
      <c r="B133" s="386"/>
      <c r="C133" s="386"/>
      <c r="D133" s="386"/>
      <c r="E133" s="386"/>
      <c r="F133" s="386"/>
      <c r="G133" s="386"/>
      <c r="H133" s="386"/>
      <c r="I133" s="416"/>
      <c r="J133" s="417"/>
      <c r="K133" s="386"/>
      <c r="L133" s="386"/>
      <c r="M133" s="386"/>
      <c r="N133" s="386"/>
      <c r="O133" s="386"/>
    </row>
    <row r="134" spans="1:15">
      <c r="I134" s="418"/>
      <c r="J134" s="419"/>
    </row>
    <row r="135" spans="1:15">
      <c r="I135" s="418"/>
      <c r="J135" s="419"/>
    </row>
    <row r="136" spans="1:15">
      <c r="I136" s="418"/>
      <c r="J136" s="419"/>
    </row>
    <row r="137" spans="1:15">
      <c r="I137" s="418"/>
      <c r="J137" s="419"/>
    </row>
    <row r="138" spans="1:15">
      <c r="I138" s="418"/>
      <c r="J138" s="419"/>
    </row>
    <row r="139" spans="1:15">
      <c r="I139" s="418"/>
      <c r="J139" s="419"/>
    </row>
    <row r="140" spans="1:15">
      <c r="I140" s="418"/>
      <c r="J140" s="419"/>
    </row>
    <row r="141" spans="1:15">
      <c r="I141" s="418"/>
      <c r="J141" s="419"/>
    </row>
    <row r="142" spans="1:15">
      <c r="I142" s="418"/>
      <c r="J142" s="419"/>
    </row>
    <row r="143" spans="1:15">
      <c r="J143" s="419"/>
    </row>
    <row r="144" spans="1:15">
      <c r="J144" s="419"/>
    </row>
    <row r="145" spans="10:10">
      <c r="J145" s="419"/>
    </row>
    <row r="146" spans="10:10">
      <c r="J146" s="419"/>
    </row>
    <row r="147" spans="10:10">
      <c r="J147" s="419"/>
    </row>
    <row r="148" spans="10:10">
      <c r="J148" s="419"/>
    </row>
    <row r="149" spans="10:10">
      <c r="J149" s="419"/>
    </row>
    <row r="150" spans="10:10">
      <c r="J150" s="419"/>
    </row>
    <row r="151" spans="10:10">
      <c r="J151" s="419"/>
    </row>
    <row r="152" spans="10:10">
      <c r="J152" s="419"/>
    </row>
    <row r="153" spans="10:10">
      <c r="J153" s="419"/>
    </row>
    <row r="154" spans="10:10">
      <c r="J154" s="419"/>
    </row>
    <row r="155" spans="10:10">
      <c r="J155" s="419"/>
    </row>
    <row r="156" spans="10:10">
      <c r="J156" s="419"/>
    </row>
    <row r="157" spans="10:10">
      <c r="J157" s="419"/>
    </row>
    <row r="158" spans="10:10">
      <c r="J158" s="419"/>
    </row>
    <row r="159" spans="10:10">
      <c r="J159" s="419"/>
    </row>
    <row r="160" spans="10:10">
      <c r="J160" s="419"/>
    </row>
    <row r="161" spans="10:10">
      <c r="J161" s="419"/>
    </row>
    <row r="162" spans="10:10">
      <c r="J162" s="419"/>
    </row>
    <row r="163" spans="10:10">
      <c r="J163" s="419"/>
    </row>
    <row r="164" spans="10:10">
      <c r="J164" s="419"/>
    </row>
    <row r="165" spans="10:10">
      <c r="J165" s="419"/>
    </row>
    <row r="166" spans="10:10">
      <c r="J166" s="419"/>
    </row>
    <row r="167" spans="10:10">
      <c r="J167" s="419"/>
    </row>
    <row r="168" spans="10:10">
      <c r="J168" s="419"/>
    </row>
    <row r="169" spans="10:10">
      <c r="J169" s="419"/>
    </row>
    <row r="170" spans="10:10">
      <c r="J170" s="419"/>
    </row>
    <row r="171" spans="10:10">
      <c r="J171" s="419"/>
    </row>
    <row r="172" spans="10:10">
      <c r="J172" s="419"/>
    </row>
    <row r="173" spans="10:10">
      <c r="J173" s="419"/>
    </row>
    <row r="174" spans="10:10">
      <c r="J174" s="419"/>
    </row>
    <row r="175" spans="10:10">
      <c r="J175" s="419"/>
    </row>
    <row r="176" spans="10:10">
      <c r="J176" s="419"/>
    </row>
    <row r="177" spans="10:10">
      <c r="J177" s="419"/>
    </row>
    <row r="178" spans="10:10">
      <c r="J178" s="419"/>
    </row>
    <row r="179" spans="10:10">
      <c r="J179" s="419"/>
    </row>
    <row r="180" spans="10:10">
      <c r="J180" s="419"/>
    </row>
    <row r="181" spans="10:10">
      <c r="J181" s="419"/>
    </row>
    <row r="182" spans="10:10">
      <c r="J182" s="419"/>
    </row>
    <row r="183" spans="10:10">
      <c r="J183" s="419"/>
    </row>
    <row r="184" spans="10:10">
      <c r="J184" s="419"/>
    </row>
  </sheetData>
  <mergeCells count="2">
    <mergeCell ref="L29:L30"/>
    <mergeCell ref="M29:M30"/>
  </mergeCells>
  <phoneticPr fontId="12" type="noConversion"/>
  <pageMargins left="0.75" right="0.75" top="1" bottom="1" header="0.5" footer="0.5"/>
  <headerFooter alignWithMargins="0"/>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P324"/>
  <sheetViews>
    <sheetView workbookViewId="0">
      <selection activeCell="M13" sqref="M13"/>
    </sheetView>
  </sheetViews>
  <sheetFormatPr defaultColWidth="8.8984375" defaultRowHeight="11.5"/>
  <cols>
    <col min="1" max="1" width="8.8984375" customWidth="1"/>
    <col min="2" max="2" width="11.09765625" customWidth="1"/>
    <col min="3" max="3" width="14" customWidth="1"/>
    <col min="4" max="4" width="15" customWidth="1"/>
    <col min="5" max="5" width="12.8984375" customWidth="1"/>
  </cols>
  <sheetData>
    <row r="1" spans="1:14" ht="15.5">
      <c r="A1" s="59" t="s">
        <v>207</v>
      </c>
      <c r="B1" s="60"/>
      <c r="C1" s="60"/>
      <c r="D1" s="60"/>
      <c r="E1" s="60"/>
      <c r="F1" s="60"/>
      <c r="H1" s="60"/>
      <c r="I1" s="64" t="s">
        <v>208</v>
      </c>
      <c r="J1" s="60"/>
      <c r="K1" s="60"/>
      <c r="L1" s="60"/>
      <c r="M1" s="60"/>
      <c r="N1" s="60"/>
    </row>
    <row r="2" spans="1:14" ht="12" thickBot="1">
      <c r="A2" s="61"/>
      <c r="B2" s="61"/>
      <c r="C2" s="61"/>
      <c r="D2" s="61"/>
      <c r="E2" s="61"/>
      <c r="F2" s="61"/>
      <c r="G2" s="62"/>
      <c r="H2" s="62"/>
      <c r="I2" s="62"/>
      <c r="J2" s="62"/>
      <c r="K2" s="61"/>
      <c r="L2" s="61"/>
      <c r="M2" s="61"/>
      <c r="N2" s="61"/>
    </row>
    <row r="3" spans="1:14" ht="13.5" thickBot="1">
      <c r="A3" s="63" t="s">
        <v>209</v>
      </c>
      <c r="B3" s="61"/>
      <c r="C3" s="61"/>
      <c r="D3" s="61"/>
      <c r="E3" s="64"/>
      <c r="F3" s="61"/>
      <c r="G3" s="62"/>
      <c r="H3" s="62"/>
      <c r="I3" s="1398" t="s">
        <v>443</v>
      </c>
      <c r="J3" s="1399"/>
      <c r="K3" s="1399"/>
      <c r="L3" s="1399"/>
      <c r="M3" s="1399"/>
      <c r="N3" s="1400"/>
    </row>
    <row r="4" spans="1:14" ht="13">
      <c r="A4" s="110" t="s">
        <v>210</v>
      </c>
      <c r="B4" s="61"/>
      <c r="C4" s="61"/>
      <c r="D4" s="61"/>
      <c r="E4" s="64" t="s">
        <v>211</v>
      </c>
      <c r="F4" s="61"/>
      <c r="G4" s="62"/>
      <c r="H4" s="62"/>
      <c r="I4" s="62"/>
      <c r="J4" s="62"/>
      <c r="K4" s="61"/>
      <c r="L4" s="61"/>
      <c r="M4" s="61"/>
      <c r="N4" s="61"/>
    </row>
    <row r="5" spans="1:14">
      <c r="A5" s="61" t="s">
        <v>212</v>
      </c>
      <c r="B5" s="61"/>
      <c r="C5" s="61"/>
      <c r="D5" s="61"/>
      <c r="E5" s="61"/>
      <c r="F5" s="61"/>
      <c r="G5" s="61"/>
      <c r="H5" s="61"/>
      <c r="I5" s="61"/>
      <c r="J5" s="61"/>
      <c r="K5" s="61"/>
      <c r="L5" s="61"/>
      <c r="M5" s="61"/>
      <c r="N5" s="61"/>
    </row>
    <row r="6" spans="1:14">
      <c r="A6" s="61"/>
      <c r="B6" s="61"/>
      <c r="C6" s="61"/>
      <c r="D6" s="61"/>
      <c r="E6" s="61"/>
      <c r="F6" s="61"/>
      <c r="G6" s="61"/>
      <c r="H6" s="61"/>
      <c r="I6" s="61"/>
      <c r="J6" s="61"/>
      <c r="K6" s="61"/>
      <c r="L6" s="61"/>
      <c r="M6" s="61"/>
      <c r="N6" s="61"/>
    </row>
    <row r="7" spans="1:14">
      <c r="A7" s="61" t="s">
        <v>213</v>
      </c>
      <c r="B7" s="61"/>
      <c r="C7" s="61"/>
      <c r="D7" s="61"/>
      <c r="E7" s="61"/>
      <c r="F7" s="61"/>
      <c r="G7" s="61"/>
      <c r="H7" s="61"/>
      <c r="I7" s="61"/>
      <c r="J7" s="61"/>
      <c r="K7" s="61"/>
      <c r="L7" s="61"/>
      <c r="M7" s="61"/>
      <c r="N7" s="61"/>
    </row>
    <row r="8" spans="1:14">
      <c r="A8" s="61"/>
      <c r="B8" s="61"/>
      <c r="C8" s="61"/>
      <c r="D8" s="61"/>
      <c r="E8" s="61"/>
      <c r="F8" s="61"/>
      <c r="G8" s="61"/>
      <c r="H8" s="61"/>
      <c r="I8" s="61"/>
      <c r="J8" s="61"/>
      <c r="K8" s="61"/>
      <c r="L8" s="61"/>
      <c r="M8" s="61"/>
      <c r="N8" s="61"/>
    </row>
    <row r="9" spans="1:14">
      <c r="A9" s="61" t="s">
        <v>214</v>
      </c>
      <c r="B9" s="61"/>
      <c r="C9" s="61"/>
      <c r="D9" s="61"/>
      <c r="E9" s="61"/>
      <c r="F9" s="61"/>
      <c r="G9" s="61"/>
      <c r="H9" s="61"/>
      <c r="I9" s="61"/>
      <c r="J9" s="61"/>
      <c r="K9" s="61"/>
      <c r="L9" s="61"/>
      <c r="M9" s="61"/>
      <c r="N9" s="61"/>
    </row>
    <row r="10" spans="1:14">
      <c r="G10" s="61"/>
      <c r="H10" s="61"/>
      <c r="I10" s="61"/>
      <c r="J10" s="61"/>
      <c r="K10" s="61"/>
      <c r="L10" s="61"/>
      <c r="M10" s="61"/>
      <c r="N10" s="61"/>
    </row>
    <row r="11" spans="1:14" ht="13">
      <c r="A11" s="74" t="s">
        <v>215</v>
      </c>
      <c r="B11" s="75"/>
      <c r="C11" s="76"/>
      <c r="D11" s="75"/>
      <c r="E11" s="483"/>
      <c r="F11" s="72"/>
      <c r="G11" s="72" t="s">
        <v>216</v>
      </c>
      <c r="H11" s="72"/>
      <c r="I11" s="72"/>
      <c r="J11" s="72"/>
      <c r="K11" s="75"/>
      <c r="L11" s="75"/>
      <c r="M11" s="75"/>
      <c r="N11" s="75"/>
    </row>
    <row r="12" spans="1:14">
      <c r="A12" s="75"/>
      <c r="B12" s="75"/>
      <c r="C12" s="76"/>
      <c r="D12" s="75"/>
      <c r="E12" s="76"/>
      <c r="F12" s="72"/>
      <c r="G12" s="72"/>
      <c r="H12" s="72"/>
      <c r="I12" s="72"/>
      <c r="J12" s="72"/>
      <c r="K12" s="75"/>
      <c r="L12" s="75"/>
      <c r="M12" s="75"/>
      <c r="N12" s="75"/>
    </row>
    <row r="13" spans="1:14" ht="13">
      <c r="A13" s="78" t="s">
        <v>217</v>
      </c>
      <c r="B13" s="79"/>
      <c r="C13" s="80"/>
      <c r="D13" s="79"/>
      <c r="E13" s="79"/>
      <c r="F13" s="79"/>
      <c r="G13" s="79"/>
      <c r="H13" s="79"/>
      <c r="I13" s="79"/>
      <c r="J13" s="79"/>
      <c r="K13" s="80"/>
      <c r="L13" s="80"/>
      <c r="M13" s="79"/>
      <c r="N13" s="80"/>
    </row>
    <row r="14" spans="1:14" ht="13">
      <c r="A14" s="81" t="s">
        <v>866</v>
      </c>
      <c r="B14" s="513" t="s">
        <v>890</v>
      </c>
      <c r="C14" s="513" t="s">
        <v>891</v>
      </c>
      <c r="D14" s="513" t="s">
        <v>892</v>
      </c>
      <c r="E14" s="83"/>
      <c r="F14" s="81"/>
      <c r="G14" s="81"/>
      <c r="H14" s="82"/>
      <c r="I14" s="74"/>
      <c r="J14" s="82"/>
      <c r="K14" s="484"/>
      <c r="L14" s="484"/>
      <c r="M14" s="484"/>
      <c r="N14" s="484"/>
    </row>
    <row r="15" spans="1:14" ht="13">
      <c r="A15" s="484">
        <v>1</v>
      </c>
      <c r="B15" s="488">
        <v>-0.49199999999999999</v>
      </c>
      <c r="C15" s="488">
        <v>5.44</v>
      </c>
      <c r="D15" s="107">
        <v>-5.03</v>
      </c>
      <c r="E15" s="88"/>
      <c r="F15" s="87"/>
      <c r="G15" s="87"/>
      <c r="H15" s="484"/>
      <c r="I15" s="88"/>
      <c r="J15" s="86"/>
      <c r="K15" s="86"/>
      <c r="L15" s="86"/>
      <c r="M15" s="86"/>
      <c r="N15" s="86"/>
    </row>
    <row r="16" spans="1:14" ht="13">
      <c r="A16" s="75">
        <v>2</v>
      </c>
      <c r="B16" s="488">
        <v>-0.49199999999999999</v>
      </c>
      <c r="C16" s="489">
        <v>5.44</v>
      </c>
      <c r="D16" s="107">
        <v>-5.03</v>
      </c>
      <c r="E16" s="88"/>
      <c r="F16" s="87"/>
      <c r="G16" s="72"/>
      <c r="H16" s="484"/>
      <c r="I16" s="88"/>
      <c r="J16" s="86"/>
      <c r="K16" s="75"/>
      <c r="L16" s="75"/>
      <c r="M16" s="75"/>
      <c r="N16" s="75"/>
    </row>
    <row r="17" spans="1:14" ht="13">
      <c r="A17" s="75">
        <v>3</v>
      </c>
      <c r="B17" s="488">
        <v>-0.745</v>
      </c>
      <c r="C17" s="489">
        <v>5.63</v>
      </c>
      <c r="D17" s="107">
        <v>-4.6399999999999997</v>
      </c>
      <c r="E17" s="88"/>
      <c r="F17" s="87"/>
      <c r="G17" s="72"/>
      <c r="H17" s="72"/>
      <c r="I17" s="86"/>
      <c r="J17" s="75"/>
      <c r="K17" s="75" t="s">
        <v>297</v>
      </c>
      <c r="L17" s="86"/>
      <c r="M17" s="75"/>
      <c r="N17" s="75"/>
    </row>
    <row r="18" spans="1:14" ht="13">
      <c r="A18" s="75">
        <v>4</v>
      </c>
      <c r="B18" s="488">
        <v>-0.745</v>
      </c>
      <c r="C18" s="489">
        <v>5.63</v>
      </c>
      <c r="D18" s="107">
        <v>-4.6399999999999997</v>
      </c>
      <c r="E18" s="88"/>
      <c r="F18" s="87"/>
      <c r="G18" s="72"/>
      <c r="H18" s="72"/>
      <c r="I18" s="86"/>
      <c r="J18" s="75"/>
      <c r="K18" s="75"/>
      <c r="L18" s="86"/>
      <c r="M18" s="75"/>
      <c r="N18" s="75"/>
    </row>
    <row r="19" spans="1:14" ht="13">
      <c r="A19" s="75">
        <v>5</v>
      </c>
      <c r="B19" s="489">
        <v>-0.745</v>
      </c>
      <c r="C19" s="489">
        <v>5.63</v>
      </c>
      <c r="D19" s="489">
        <v>-4.6399999999999997</v>
      </c>
      <c r="E19" s="88"/>
      <c r="F19" s="87"/>
      <c r="G19" s="75"/>
      <c r="H19" s="75"/>
      <c r="I19" s="75"/>
      <c r="J19" s="75"/>
      <c r="K19" s="75"/>
      <c r="L19" s="75"/>
      <c r="M19" s="75"/>
      <c r="N19" s="75"/>
    </row>
    <row r="20" spans="1:14" ht="13">
      <c r="A20" s="75"/>
      <c r="B20" s="489"/>
      <c r="C20" s="489"/>
      <c r="D20" s="489"/>
      <c r="E20" s="88"/>
      <c r="F20" s="87"/>
      <c r="G20" s="75"/>
      <c r="H20" s="75"/>
      <c r="I20" s="75"/>
      <c r="J20" s="75"/>
      <c r="K20" s="75"/>
      <c r="L20" s="75"/>
      <c r="M20" s="75"/>
      <c r="N20" s="75"/>
    </row>
    <row r="21" spans="1:14" ht="13">
      <c r="A21" s="63" t="s">
        <v>218</v>
      </c>
      <c r="B21" s="489"/>
      <c r="C21" s="489"/>
      <c r="D21" s="489"/>
      <c r="E21" s="88"/>
      <c r="F21" s="87"/>
      <c r="G21" s="75"/>
      <c r="H21" s="75"/>
      <c r="I21" s="75"/>
      <c r="J21" s="75"/>
      <c r="K21" s="75"/>
      <c r="L21" s="75"/>
      <c r="M21" s="75"/>
      <c r="N21" s="75"/>
    </row>
    <row r="22" spans="1:14" ht="13">
      <c r="A22" s="110" t="s">
        <v>219</v>
      </c>
      <c r="B22" s="489"/>
      <c r="C22" s="489"/>
      <c r="D22" s="489"/>
      <c r="E22" s="88"/>
      <c r="F22" s="87"/>
      <c r="G22" s="75"/>
      <c r="H22" s="75"/>
      <c r="I22" s="75"/>
      <c r="J22" s="75"/>
      <c r="K22" s="75"/>
      <c r="L22" s="75"/>
      <c r="M22" s="75"/>
      <c r="N22" s="75"/>
    </row>
    <row r="23" spans="1:14" ht="13">
      <c r="A23" s="61" t="s">
        <v>220</v>
      </c>
      <c r="B23" s="489"/>
      <c r="C23" s="489"/>
      <c r="D23" s="489"/>
      <c r="E23" s="88"/>
      <c r="F23" s="87"/>
      <c r="G23" s="75"/>
      <c r="H23" s="75"/>
      <c r="I23" s="75"/>
      <c r="J23" s="75"/>
      <c r="K23" s="75"/>
      <c r="L23" s="75"/>
      <c r="M23" s="75"/>
      <c r="N23" s="75"/>
    </row>
    <row r="24" spans="1:14" ht="13">
      <c r="A24" s="75"/>
      <c r="B24" s="489"/>
      <c r="C24" s="489"/>
      <c r="D24" s="489"/>
      <c r="E24" s="88"/>
      <c r="F24" s="87"/>
      <c r="G24" s="75"/>
      <c r="H24" s="75"/>
      <c r="I24" s="75"/>
      <c r="J24" s="75"/>
      <c r="K24" s="75"/>
      <c r="L24" s="75"/>
      <c r="M24" s="75"/>
      <c r="N24" s="75"/>
    </row>
    <row r="25" spans="1:14">
      <c r="A25" s="61" t="s">
        <v>221</v>
      </c>
      <c r="B25" s="61"/>
      <c r="C25" s="61"/>
      <c r="D25" s="61"/>
      <c r="E25" s="61"/>
      <c r="F25" s="61"/>
      <c r="G25" s="75"/>
      <c r="H25" s="75"/>
      <c r="I25" s="75"/>
      <c r="J25" s="75"/>
      <c r="K25" s="75"/>
      <c r="L25" s="75"/>
      <c r="M25" s="75"/>
      <c r="N25" s="75"/>
    </row>
    <row r="26" spans="1:14">
      <c r="A26" s="61"/>
      <c r="B26" s="61"/>
      <c r="C26" s="61"/>
      <c r="D26" s="61"/>
      <c r="E26" s="61"/>
      <c r="F26" s="61"/>
      <c r="G26" s="75"/>
      <c r="H26" s="75"/>
      <c r="I26" s="75"/>
      <c r="J26" s="75"/>
      <c r="K26" s="75"/>
      <c r="L26" s="75"/>
      <c r="M26" s="75"/>
      <c r="N26" s="75"/>
    </row>
    <row r="27" spans="1:14" ht="13">
      <c r="A27" s="66" t="s">
        <v>879</v>
      </c>
      <c r="B27" s="67">
        <v>1.0213000000000001</v>
      </c>
      <c r="C27" s="66" t="s">
        <v>863</v>
      </c>
      <c r="D27" s="67">
        <v>19.776900000000001</v>
      </c>
      <c r="E27" s="66" t="s">
        <v>864</v>
      </c>
      <c r="F27" s="68">
        <v>11.010899999999999</v>
      </c>
      <c r="G27" s="75"/>
      <c r="H27" s="75"/>
      <c r="I27" s="75"/>
      <c r="J27" s="75"/>
      <c r="K27" s="75"/>
      <c r="L27" s="75"/>
      <c r="M27" s="75"/>
      <c r="N27" s="75"/>
    </row>
    <row r="28" spans="1:14" ht="13">
      <c r="A28" s="89"/>
      <c r="B28" s="89"/>
      <c r="C28" s="89"/>
      <c r="D28" s="90"/>
      <c r="E28" s="89"/>
      <c r="F28" s="485"/>
      <c r="G28" s="89"/>
      <c r="H28" s="89"/>
      <c r="I28" s="89"/>
      <c r="J28" s="89"/>
      <c r="K28" s="89"/>
      <c r="L28" s="89"/>
      <c r="M28" s="89"/>
      <c r="N28" s="89"/>
    </row>
    <row r="29" spans="1:14" s="49" customFormat="1" ht="13">
      <c r="A29" s="72"/>
      <c r="B29" s="72"/>
      <c r="C29" s="72"/>
      <c r="D29" s="92"/>
      <c r="E29" s="72"/>
      <c r="F29" s="483"/>
      <c r="G29" s="72"/>
      <c r="H29" s="72"/>
      <c r="I29" s="72"/>
      <c r="J29" s="72"/>
      <c r="K29" s="72"/>
      <c r="L29" s="72"/>
      <c r="M29" s="72"/>
      <c r="N29" s="72"/>
    </row>
    <row r="30" spans="1:14" s="49" customFormat="1" ht="13">
      <c r="A30" s="280" t="s">
        <v>222</v>
      </c>
      <c r="B30" s="261"/>
      <c r="C30" s="261"/>
      <c r="D30" s="281" t="s">
        <v>1026</v>
      </c>
      <c r="E30" s="261"/>
      <c r="F30" s="483"/>
      <c r="G30" s="72"/>
      <c r="H30" s="72"/>
      <c r="I30" s="72"/>
      <c r="J30" s="72"/>
      <c r="K30" s="72"/>
      <c r="L30" s="72"/>
      <c r="M30" s="72"/>
      <c r="N30" s="72"/>
    </row>
    <row r="31" spans="1:14" s="49" customFormat="1" ht="12.5">
      <c r="A31" s="282" t="s">
        <v>203</v>
      </c>
      <c r="B31" s="282" t="s">
        <v>223</v>
      </c>
      <c r="C31" s="282" t="s">
        <v>198</v>
      </c>
      <c r="D31" s="282"/>
      <c r="E31" s="282"/>
    </row>
    <row r="32" spans="1:14" s="49" customFormat="1">
      <c r="A32" s="283">
        <v>0.2</v>
      </c>
      <c r="B32" s="284">
        <f t="shared" ref="B32:B39" si="0">IF($B$43=1,$B$15+($C$15*A32)+($D$15*A32*A32),IF($B$43=2,$B$16+($C$16*A32)+($D$16*A32*A32),IF($B$43=3,$B$17+($C$17*A32)+($D$17*A32*A32),IF($B$43=4,$B$18+($C$18*A32)+($D$18*A32*A32),IF($B$43=5,$B$19+($C$19*A32)+($D$19*A32*A32))))))</f>
        <v>0.39480000000000004</v>
      </c>
      <c r="C32" s="284">
        <f t="shared" ref="C32:C39" si="1">IF($C$43=1,$B$15+($C$15*A32)+($D$15*A32*A32),IF($C$43=2,$B$16+($C$16*A32)+($D$16*A32*A32),IF($C$43=3,$B$17+($C$17*A32)+($D$17*A32*A32),IF($C$43=4,$B$18+($C$18*A32)+($D$18*A32*A32),IF($C$43=5,$B$19+($C$19*A32)+($D$19*A32*A32))))))</f>
        <v>0.19540000000000013</v>
      </c>
      <c r="D32" s="284"/>
      <c r="E32" s="284"/>
    </row>
    <row r="33" spans="1:14" s="49" customFormat="1">
      <c r="A33" s="283">
        <v>0.3</v>
      </c>
      <c r="B33" s="284">
        <f t="shared" si="0"/>
        <v>0.68730000000000013</v>
      </c>
      <c r="C33" s="284">
        <f t="shared" si="1"/>
        <v>0.52639999999999987</v>
      </c>
      <c r="D33" s="284"/>
      <c r="E33" s="284"/>
    </row>
    <row r="34" spans="1:14" s="49" customFormat="1">
      <c r="A34" s="283">
        <v>0.4</v>
      </c>
      <c r="B34" s="284">
        <f t="shared" si="0"/>
        <v>0.87920000000000009</v>
      </c>
      <c r="C34" s="284">
        <f t="shared" si="1"/>
        <v>0.76460000000000017</v>
      </c>
      <c r="D34" s="284"/>
      <c r="E34" s="284"/>
    </row>
    <row r="35" spans="1:14" s="49" customFormat="1">
      <c r="A35" s="486">
        <v>0.5</v>
      </c>
      <c r="B35" s="284">
        <f t="shared" si="0"/>
        <v>0.97050000000000014</v>
      </c>
      <c r="C35" s="284">
        <f t="shared" si="1"/>
        <v>0.90999999999999992</v>
      </c>
      <c r="D35" s="284"/>
      <c r="E35" s="284"/>
    </row>
    <row r="36" spans="1:14" s="49" customFormat="1">
      <c r="A36" s="252">
        <v>0.6</v>
      </c>
      <c r="B36" s="284">
        <f t="shared" si="0"/>
        <v>0.96120000000000028</v>
      </c>
      <c r="C36" s="284">
        <f t="shared" si="1"/>
        <v>0.96259999999999968</v>
      </c>
      <c r="D36" s="284"/>
      <c r="E36" s="284"/>
    </row>
    <row r="37" spans="1:14" s="49" customFormat="1">
      <c r="A37" s="252">
        <v>0.7</v>
      </c>
      <c r="B37" s="284">
        <f t="shared" si="0"/>
        <v>0.85130000000000017</v>
      </c>
      <c r="C37" s="284">
        <f t="shared" si="1"/>
        <v>0.92240000000000011</v>
      </c>
      <c r="D37" s="284"/>
      <c r="E37" s="284"/>
    </row>
    <row r="38" spans="1:14" s="49" customFormat="1">
      <c r="A38" s="252">
        <v>0.8</v>
      </c>
      <c r="B38" s="284">
        <f t="shared" si="0"/>
        <v>0.64080000000000004</v>
      </c>
      <c r="C38" s="284">
        <f t="shared" si="1"/>
        <v>0.78940000000000055</v>
      </c>
      <c r="D38" s="284"/>
      <c r="E38" s="284"/>
    </row>
    <row r="39" spans="1:14" s="49" customFormat="1">
      <c r="A39" s="252">
        <v>0.9</v>
      </c>
      <c r="B39" s="284">
        <f t="shared" si="0"/>
        <v>0.32970000000000077</v>
      </c>
      <c r="C39" s="284">
        <f t="shared" si="1"/>
        <v>0.56359999999999966</v>
      </c>
      <c r="D39" s="284"/>
      <c r="E39" s="284"/>
    </row>
    <row r="40" spans="1:14" s="49" customFormat="1">
      <c r="A40" s="252"/>
      <c r="B40" s="284"/>
      <c r="C40" s="284"/>
      <c r="D40" s="284"/>
      <c r="E40" s="284"/>
    </row>
    <row r="41" spans="1:14" s="49" customFormat="1">
      <c r="A41" s="252"/>
      <c r="B41" s="284"/>
      <c r="C41" s="284"/>
      <c r="D41" s="284"/>
      <c r="E41" s="284"/>
    </row>
    <row r="42" spans="1:14" s="49" customFormat="1">
      <c r="A42" s="253"/>
      <c r="B42" s="284"/>
      <c r="C42" s="284"/>
      <c r="D42" s="284"/>
      <c r="E42" s="284"/>
    </row>
    <row r="43" spans="1:14" s="49" customFormat="1">
      <c r="A43" s="270" t="s">
        <v>71</v>
      </c>
      <c r="B43" s="271">
        <v>2</v>
      </c>
      <c r="C43" s="271">
        <v>4</v>
      </c>
      <c r="D43" s="271"/>
      <c r="E43" s="271"/>
    </row>
    <row r="44" spans="1:14" s="49" customFormat="1"/>
    <row r="45" spans="1:14" s="49" customFormat="1">
      <c r="A45" s="153"/>
      <c r="B45" s="153"/>
      <c r="C45" s="153"/>
      <c r="D45" s="153"/>
      <c r="E45" s="153"/>
      <c r="F45" s="153"/>
      <c r="G45" s="153"/>
      <c r="H45" s="153"/>
      <c r="I45" s="153"/>
      <c r="J45" s="153"/>
      <c r="K45" s="153"/>
      <c r="L45" s="153"/>
      <c r="M45" s="153"/>
      <c r="N45" s="153"/>
    </row>
    <row r="46" spans="1:14" s="49" customFormat="1">
      <c r="A46" s="50"/>
      <c r="B46" s="50"/>
      <c r="C46" s="50"/>
      <c r="D46" s="50"/>
      <c r="E46" s="50"/>
      <c r="F46" s="50"/>
      <c r="G46" s="50"/>
      <c r="H46" s="50"/>
      <c r="I46" s="50"/>
      <c r="J46" s="50"/>
      <c r="K46" s="50"/>
      <c r="L46" s="50"/>
      <c r="M46" s="50"/>
      <c r="N46" s="50"/>
    </row>
    <row r="47" spans="1:14" s="49" customFormat="1">
      <c r="A47" s="58" t="s">
        <v>224</v>
      </c>
      <c r="B47" s="50"/>
      <c r="C47" s="50"/>
      <c r="D47" s="50"/>
      <c r="E47" s="50"/>
      <c r="F47" s="50"/>
      <c r="G47" s="50"/>
      <c r="H47" s="50"/>
      <c r="I47" s="50"/>
      <c r="J47" s="50"/>
      <c r="K47" s="50"/>
      <c r="L47" s="50"/>
      <c r="M47" s="50"/>
      <c r="N47" s="50"/>
    </row>
    <row r="48" spans="1:14" s="49" customFormat="1">
      <c r="A48" s="490" t="s">
        <v>203</v>
      </c>
      <c r="B48" s="490" t="s">
        <v>225</v>
      </c>
      <c r="C48" s="50"/>
      <c r="D48" s="50"/>
      <c r="E48" s="50"/>
      <c r="F48" s="50"/>
      <c r="G48" s="50"/>
      <c r="H48" s="50"/>
      <c r="I48" s="50"/>
      <c r="J48" s="50"/>
      <c r="K48" s="50"/>
      <c r="L48" s="50"/>
      <c r="M48" s="50"/>
      <c r="N48" s="50"/>
    </row>
    <row r="49" spans="1:14" s="49" customFormat="1">
      <c r="A49" s="283">
        <v>0.2</v>
      </c>
      <c r="B49" s="491">
        <f>1/($B$27+$D$27*A49^$F$27)</f>
        <v>0.97914384638501895</v>
      </c>
      <c r="C49" s="50"/>
      <c r="D49" s="50"/>
      <c r="E49" s="50"/>
      <c r="F49" s="50"/>
      <c r="G49" s="50"/>
      <c r="H49" s="50"/>
      <c r="I49" s="50"/>
      <c r="J49" s="50"/>
      <c r="K49" s="50"/>
      <c r="L49" s="50"/>
      <c r="M49" s="50"/>
      <c r="N49" s="50"/>
    </row>
    <row r="50" spans="1:14" s="49" customFormat="1">
      <c r="A50" s="283">
        <v>0.3</v>
      </c>
      <c r="B50" s="491">
        <f t="shared" ref="B50:B56" si="2">1/($B$27+$D$27*A50^$F$27)</f>
        <v>0.9791110788804811</v>
      </c>
      <c r="C50" s="50"/>
      <c r="D50" s="50"/>
      <c r="E50" s="50"/>
      <c r="F50" s="50"/>
      <c r="G50" s="50"/>
      <c r="H50" s="50"/>
      <c r="I50" s="50"/>
      <c r="J50" s="50"/>
      <c r="K50" s="50"/>
      <c r="L50" s="50"/>
      <c r="M50" s="50"/>
      <c r="N50" s="50"/>
    </row>
    <row r="51" spans="1:14" s="49" customFormat="1">
      <c r="A51" s="283">
        <v>0.4</v>
      </c>
      <c r="B51" s="491">
        <f t="shared" si="2"/>
        <v>0.97835749955453599</v>
      </c>
      <c r="C51" s="50"/>
      <c r="D51" s="50"/>
      <c r="E51" s="50"/>
      <c r="F51" s="50"/>
      <c r="G51" s="50"/>
      <c r="H51" s="50"/>
      <c r="I51" s="50"/>
      <c r="J51" s="50"/>
      <c r="K51" s="50"/>
      <c r="L51" s="50"/>
      <c r="M51" s="50"/>
      <c r="N51" s="50"/>
    </row>
    <row r="52" spans="1:14" s="49" customFormat="1">
      <c r="A52" s="486">
        <v>0.5</v>
      </c>
      <c r="B52" s="491">
        <f t="shared" si="2"/>
        <v>0.97004124130975722</v>
      </c>
      <c r="C52" s="50"/>
      <c r="D52" s="50"/>
      <c r="E52" s="50"/>
      <c r="F52" s="50"/>
      <c r="G52" s="50"/>
      <c r="H52" s="50"/>
      <c r="I52" s="50"/>
      <c r="J52" s="50"/>
      <c r="K52" s="50"/>
      <c r="L52" s="50"/>
      <c r="M52" s="50"/>
      <c r="N52" s="50"/>
    </row>
    <row r="53" spans="1:14" s="49" customFormat="1">
      <c r="A53" s="252">
        <v>0.6</v>
      </c>
      <c r="B53" s="491">
        <f t="shared" si="2"/>
        <v>0.91520479568817426</v>
      </c>
      <c r="C53" s="50"/>
      <c r="D53" s="50"/>
      <c r="E53" s="50"/>
      <c r="F53" s="50"/>
      <c r="G53" s="50"/>
      <c r="H53" s="50"/>
      <c r="I53" s="50"/>
      <c r="J53" s="50"/>
      <c r="K53" s="50"/>
      <c r="L53" s="50"/>
      <c r="M53" s="50"/>
      <c r="N53" s="50"/>
    </row>
    <row r="54" spans="1:14" s="49" customFormat="1">
      <c r="A54" s="252">
        <v>0.7</v>
      </c>
      <c r="B54" s="491">
        <f t="shared" si="2"/>
        <v>0.70879932323859085</v>
      </c>
      <c r="C54" s="50"/>
      <c r="D54" s="50"/>
      <c r="E54" s="50"/>
      <c r="F54" s="50"/>
      <c r="G54" s="50"/>
      <c r="H54" s="50"/>
      <c r="I54" s="50"/>
      <c r="J54" s="50"/>
      <c r="K54" s="50"/>
      <c r="L54" s="50"/>
      <c r="M54" s="50"/>
      <c r="N54" s="50"/>
    </row>
    <row r="55" spans="1:14" s="49" customFormat="1">
      <c r="A55" s="252">
        <v>0.8</v>
      </c>
      <c r="B55" s="491">
        <f t="shared" si="2"/>
        <v>0.3681890807150987</v>
      </c>
      <c r="C55" s="50"/>
      <c r="D55" s="50"/>
      <c r="E55" s="50"/>
      <c r="F55" s="50"/>
      <c r="G55" s="50"/>
      <c r="H55" s="50"/>
      <c r="I55" s="50"/>
      <c r="J55" s="50"/>
      <c r="K55" s="50"/>
      <c r="L55" s="50"/>
      <c r="M55" s="50"/>
      <c r="N55" s="50"/>
    </row>
    <row r="56" spans="1:14" s="49" customFormat="1">
      <c r="A56" s="252">
        <v>0.9</v>
      </c>
      <c r="B56" s="491">
        <f t="shared" si="2"/>
        <v>0.13849691407455625</v>
      </c>
      <c r="C56" s="50"/>
      <c r="D56" s="50"/>
      <c r="E56" s="50"/>
      <c r="F56" s="50"/>
      <c r="G56" s="50"/>
      <c r="H56" s="50"/>
      <c r="I56" s="50"/>
      <c r="J56" s="50"/>
      <c r="K56" s="50"/>
      <c r="L56" s="50"/>
      <c r="M56" s="50"/>
      <c r="N56" s="50"/>
    </row>
    <row r="57" spans="1:14" s="49" customFormat="1">
      <c r="A57" s="50"/>
      <c r="B57" s="50"/>
      <c r="C57" s="50"/>
      <c r="D57" s="50"/>
      <c r="E57" s="50"/>
      <c r="F57" s="50"/>
      <c r="G57" s="50"/>
      <c r="H57" s="50"/>
      <c r="I57" s="50"/>
      <c r="J57" s="50"/>
      <c r="K57" s="50"/>
      <c r="L57" s="50"/>
      <c r="M57" s="50"/>
      <c r="N57" s="50"/>
    </row>
    <row r="58" spans="1:14" s="49" customFormat="1">
      <c r="A58" s="50"/>
      <c r="B58" s="50"/>
      <c r="C58" s="50"/>
      <c r="D58" s="50"/>
      <c r="E58" s="50"/>
      <c r="F58" s="50"/>
      <c r="G58" s="50"/>
      <c r="H58" s="50"/>
      <c r="I58" s="50"/>
      <c r="J58" s="50"/>
      <c r="K58" s="50"/>
      <c r="L58" s="50"/>
      <c r="M58" s="50"/>
      <c r="N58" s="50"/>
    </row>
    <row r="59" spans="1:14" s="49" customFormat="1">
      <c r="A59" s="507" t="s">
        <v>226</v>
      </c>
      <c r="B59" s="507" t="s">
        <v>227</v>
      </c>
      <c r="C59" s="507"/>
      <c r="D59" s="507"/>
      <c r="E59" s="50"/>
      <c r="F59" s="50"/>
      <c r="G59" s="50"/>
      <c r="H59" s="50"/>
      <c r="I59" s="50"/>
      <c r="J59" s="50"/>
      <c r="K59" s="50"/>
      <c r="L59" s="50"/>
      <c r="M59" s="50"/>
      <c r="N59" s="50"/>
    </row>
    <row r="60" spans="1:14" s="49" customFormat="1">
      <c r="A60" s="507" t="s">
        <v>228</v>
      </c>
      <c r="B60" s="507"/>
      <c r="C60" s="507"/>
      <c r="D60" s="507"/>
      <c r="E60" s="50"/>
      <c r="F60" s="50"/>
      <c r="G60" s="50"/>
      <c r="H60" s="50"/>
      <c r="I60" s="50"/>
      <c r="J60" s="50"/>
      <c r="K60" s="50"/>
      <c r="L60" s="50"/>
      <c r="M60" s="50"/>
      <c r="N60" s="50"/>
    </row>
    <row r="61" spans="1:14" s="49" customFormat="1">
      <c r="A61" s="507" t="s">
        <v>229</v>
      </c>
      <c r="B61" s="507"/>
      <c r="C61" s="507"/>
      <c r="D61" s="507"/>
      <c r="E61" s="50"/>
      <c r="F61" s="50"/>
      <c r="G61" s="50"/>
      <c r="H61" s="50"/>
      <c r="I61" s="50"/>
      <c r="J61" s="50"/>
      <c r="K61" s="50"/>
      <c r="L61" s="50"/>
      <c r="M61" s="50"/>
      <c r="N61" s="50"/>
    </row>
    <row r="62" spans="1:14" s="49" customFormat="1">
      <c r="A62" s="507" t="s">
        <v>230</v>
      </c>
      <c r="B62" s="507"/>
      <c r="C62" s="507"/>
      <c r="D62" s="507"/>
      <c r="E62" s="50"/>
      <c r="F62" s="50"/>
      <c r="G62" s="50"/>
      <c r="H62" s="50"/>
      <c r="I62" s="50"/>
      <c r="J62" s="50"/>
      <c r="K62" s="50"/>
      <c r="L62" s="50"/>
      <c r="M62" s="50"/>
      <c r="N62" s="50"/>
    </row>
    <row r="63" spans="1:14" s="49" customFormat="1">
      <c r="A63" s="507" t="s">
        <v>231</v>
      </c>
      <c r="B63" s="507"/>
      <c r="C63" s="507"/>
      <c r="D63" s="507"/>
      <c r="E63" s="50"/>
      <c r="F63" s="50"/>
      <c r="G63" s="50"/>
      <c r="H63" s="50"/>
      <c r="I63" s="50"/>
      <c r="J63" s="50"/>
      <c r="K63" s="50"/>
      <c r="L63" s="50"/>
      <c r="M63" s="50"/>
      <c r="N63" s="50"/>
    </row>
    <row r="64" spans="1:14" s="49" customFormat="1">
      <c r="A64" s="507" t="s">
        <v>232</v>
      </c>
      <c r="B64" s="507"/>
      <c r="C64" s="507"/>
      <c r="D64" s="507"/>
      <c r="E64" s="50"/>
      <c r="F64" s="50"/>
      <c r="G64" s="50"/>
      <c r="H64" s="50"/>
      <c r="I64" s="50"/>
      <c r="J64" s="50"/>
      <c r="K64" s="50"/>
      <c r="L64" s="50"/>
      <c r="M64" s="50"/>
      <c r="N64" s="50"/>
    </row>
    <row r="65" spans="1:16" s="49" customFormat="1">
      <c r="A65" s="50"/>
      <c r="B65" s="50"/>
      <c r="C65" s="50"/>
      <c r="D65" s="50"/>
      <c r="E65" s="50"/>
      <c r="F65" s="50"/>
      <c r="G65" s="50"/>
      <c r="H65" s="50"/>
      <c r="I65" s="50"/>
      <c r="J65" s="50"/>
      <c r="K65" s="50"/>
      <c r="L65" s="50"/>
      <c r="M65" s="50"/>
      <c r="N65" s="50"/>
    </row>
    <row r="66" spans="1:16" s="49" customFormat="1">
      <c r="A66" s="50"/>
      <c r="B66" s="50"/>
      <c r="C66" s="50"/>
      <c r="D66" s="50"/>
      <c r="E66" s="50"/>
      <c r="F66" s="50"/>
      <c r="G66" s="50"/>
      <c r="H66" s="50"/>
      <c r="I66" s="50"/>
      <c r="J66" s="50"/>
      <c r="K66" s="50"/>
      <c r="L66" s="50"/>
      <c r="M66" s="50"/>
      <c r="N66" s="50"/>
    </row>
    <row r="67" spans="1:16" s="49" customFormat="1">
      <c r="A67" s="50"/>
      <c r="B67" s="50"/>
      <c r="C67" s="50"/>
      <c r="D67" s="50"/>
      <c r="E67" s="50"/>
      <c r="F67" s="50"/>
      <c r="G67" s="50"/>
      <c r="H67" s="50"/>
      <c r="I67" s="50"/>
      <c r="J67" s="50"/>
      <c r="K67" s="50"/>
      <c r="L67" s="50"/>
      <c r="M67" s="50"/>
      <c r="N67" s="50"/>
    </row>
    <row r="68" spans="1:16" s="49" customFormat="1">
      <c r="A68" s="50"/>
      <c r="B68" s="50"/>
      <c r="C68" s="50"/>
      <c r="D68" s="50"/>
      <c r="E68" s="50"/>
      <c r="F68" s="50"/>
      <c r="G68" s="50"/>
      <c r="H68" s="50"/>
      <c r="I68" s="50"/>
      <c r="J68" s="50"/>
      <c r="K68" s="50"/>
      <c r="L68" s="50"/>
      <c r="M68" s="50"/>
      <c r="N68" s="50"/>
    </row>
    <row r="69" spans="1:16" s="49" customFormat="1">
      <c r="A69" s="50"/>
      <c r="B69" s="50"/>
      <c r="C69" s="50"/>
      <c r="D69" s="50"/>
      <c r="E69" s="50"/>
      <c r="F69" s="50"/>
      <c r="G69" s="50"/>
      <c r="H69" s="50"/>
      <c r="I69" s="50"/>
      <c r="J69" s="50"/>
      <c r="K69" s="50"/>
      <c r="L69" s="50"/>
      <c r="M69" s="50"/>
      <c r="N69" s="50"/>
    </row>
    <row r="70" spans="1:16" s="49" customFormat="1">
      <c r="A70" s="191"/>
      <c r="B70" s="191"/>
      <c r="C70" s="191"/>
      <c r="D70" s="191"/>
      <c r="E70" s="191"/>
      <c r="F70" s="191"/>
      <c r="G70" s="191"/>
      <c r="H70" s="492"/>
      <c r="I70" s="492"/>
      <c r="J70" s="492"/>
      <c r="K70" s="493"/>
      <c r="L70" s="493"/>
      <c r="M70" s="493"/>
      <c r="N70" s="493"/>
      <c r="O70" s="494"/>
      <c r="P70" s="494"/>
    </row>
    <row r="71" spans="1:16" s="50" customFormat="1" ht="13">
      <c r="A71" s="495"/>
      <c r="B71" s="191"/>
      <c r="C71" s="191"/>
      <c r="D71" s="191"/>
      <c r="E71" s="191"/>
      <c r="F71" s="191"/>
      <c r="G71" s="191"/>
      <c r="H71" s="191"/>
      <c r="I71" s="191"/>
      <c r="J71" s="191"/>
      <c r="K71" s="494"/>
      <c r="L71" s="496"/>
      <c r="M71" s="494"/>
      <c r="N71" s="494"/>
      <c r="O71" s="494"/>
      <c r="P71" s="494"/>
    </row>
    <row r="72" spans="1:16" s="49" customFormat="1" ht="13">
      <c r="A72" s="497"/>
      <c r="B72" s="497"/>
      <c r="C72" s="497"/>
      <c r="D72" s="191"/>
      <c r="E72" s="497"/>
      <c r="F72" s="497"/>
      <c r="G72" s="498"/>
      <c r="H72" s="499"/>
      <c r="I72" s="499"/>
      <c r="J72" s="500"/>
      <c r="K72" s="494"/>
      <c r="L72" s="501"/>
      <c r="M72" s="502"/>
      <c r="N72" s="503"/>
      <c r="O72" s="494"/>
      <c r="P72" s="494"/>
    </row>
    <row r="73" spans="1:16" s="49" customFormat="1" ht="12.5">
      <c r="A73" s="497"/>
      <c r="B73" s="497"/>
      <c r="C73" s="497"/>
      <c r="D73" s="497"/>
      <c r="E73" s="497"/>
      <c r="F73" s="497"/>
      <c r="G73" s="504"/>
      <c r="H73" s="191"/>
      <c r="I73" s="505"/>
      <c r="J73" s="191"/>
      <c r="K73" s="494"/>
      <c r="L73" s="506"/>
      <c r="M73" s="487"/>
      <c r="N73" s="487"/>
      <c r="O73" s="494"/>
      <c r="P73" s="494"/>
    </row>
    <row r="74" spans="1:16" s="49" customFormat="1" ht="12.5">
      <c r="A74" s="497"/>
      <c r="B74" s="497"/>
      <c r="C74" s="497"/>
      <c r="D74" s="497"/>
      <c r="E74" s="497"/>
      <c r="F74" s="497"/>
      <c r="G74" s="504"/>
      <c r="H74" s="191"/>
      <c r="I74" s="505"/>
      <c r="J74" s="191"/>
      <c r="K74" s="494"/>
      <c r="L74" s="506"/>
      <c r="M74" s="487"/>
      <c r="N74" s="487"/>
      <c r="O74" s="494"/>
      <c r="P74" s="494"/>
    </row>
    <row r="75" spans="1:16" s="49" customFormat="1" ht="12.5">
      <c r="A75" s="497"/>
      <c r="B75" s="497"/>
      <c r="C75" s="497"/>
      <c r="D75" s="497"/>
      <c r="E75" s="497"/>
      <c r="F75" s="497"/>
      <c r="G75" s="504"/>
      <c r="H75" s="191"/>
      <c r="I75" s="505"/>
      <c r="J75" s="191"/>
      <c r="K75" s="494"/>
      <c r="L75" s="506"/>
      <c r="M75" s="487"/>
      <c r="N75" s="487"/>
      <c r="O75" s="494"/>
      <c r="P75" s="494"/>
    </row>
    <row r="76" spans="1:16" s="49" customFormat="1" ht="12.5">
      <c r="A76" s="497"/>
      <c r="B76" s="497"/>
      <c r="C76" s="497"/>
      <c r="D76" s="497"/>
      <c r="E76" s="497"/>
      <c r="F76" s="497"/>
      <c r="G76" s="504"/>
      <c r="H76" s="191"/>
      <c r="I76" s="505"/>
      <c r="J76" s="191"/>
      <c r="K76" s="494"/>
      <c r="L76" s="506"/>
      <c r="M76" s="487"/>
      <c r="N76" s="487"/>
      <c r="O76" s="494"/>
      <c r="P76" s="494"/>
    </row>
    <row r="77" spans="1:16" s="49" customFormat="1" ht="12.5">
      <c r="A77" s="497"/>
      <c r="B77" s="497"/>
      <c r="C77" s="497"/>
      <c r="D77" s="497"/>
      <c r="E77" s="497"/>
      <c r="F77" s="497"/>
      <c r="G77" s="504"/>
      <c r="H77" s="191"/>
      <c r="I77" s="505"/>
      <c r="J77" s="191"/>
      <c r="K77" s="494"/>
      <c r="L77" s="506"/>
      <c r="M77" s="487"/>
      <c r="N77" s="487"/>
      <c r="O77" s="494"/>
      <c r="P77" s="494"/>
    </row>
    <row r="78" spans="1:16" s="49" customFormat="1" ht="12.5">
      <c r="A78" s="497"/>
      <c r="B78" s="497"/>
      <c r="C78" s="497"/>
      <c r="D78" s="497"/>
      <c r="E78" s="497"/>
      <c r="F78" s="497"/>
      <c r="G78" s="504"/>
      <c r="H78" s="191"/>
      <c r="I78" s="505"/>
      <c r="J78" s="191"/>
      <c r="K78" s="494"/>
      <c r="L78" s="506"/>
      <c r="M78" s="487"/>
      <c r="N78" s="487"/>
      <c r="O78" s="494"/>
      <c r="P78" s="494"/>
    </row>
    <row r="79" spans="1:16" s="49" customFormat="1" ht="12.5">
      <c r="A79" s="497"/>
      <c r="B79" s="497"/>
      <c r="C79" s="497"/>
      <c r="D79" s="497"/>
      <c r="E79" s="497"/>
      <c r="F79" s="497"/>
      <c r="G79" s="504"/>
      <c r="H79" s="191"/>
      <c r="I79" s="505"/>
      <c r="J79" s="191"/>
      <c r="K79" s="494"/>
      <c r="L79" s="506"/>
      <c r="M79" s="487"/>
      <c r="N79" s="487"/>
      <c r="O79" s="494"/>
      <c r="P79" s="494"/>
    </row>
    <row r="80" spans="1:16" s="49" customFormat="1" ht="12.5">
      <c r="A80" s="497"/>
      <c r="B80" s="497"/>
      <c r="C80" s="497"/>
      <c r="D80" s="497"/>
      <c r="E80" s="497"/>
      <c r="F80" s="497"/>
      <c r="G80" s="504"/>
      <c r="H80" s="191"/>
      <c r="I80" s="505"/>
      <c r="J80" s="191"/>
      <c r="K80" s="494"/>
      <c r="L80" s="506"/>
      <c r="M80" s="487"/>
      <c r="N80" s="487"/>
      <c r="O80" s="494"/>
      <c r="P80" s="494"/>
    </row>
    <row r="81" spans="1:16" s="49" customFormat="1" ht="12.5">
      <c r="A81" s="497"/>
      <c r="B81" s="497"/>
      <c r="C81" s="497"/>
      <c r="D81" s="497"/>
      <c r="E81" s="497"/>
      <c r="F81" s="497"/>
      <c r="G81" s="504"/>
      <c r="H81" s="191"/>
      <c r="I81" s="505"/>
      <c r="J81" s="191"/>
      <c r="K81" s="494"/>
      <c r="L81" s="506"/>
      <c r="M81" s="487"/>
      <c r="N81" s="487"/>
      <c r="O81" s="494"/>
      <c r="P81" s="494"/>
    </row>
    <row r="82" spans="1:16" s="49" customFormat="1" ht="12.5">
      <c r="A82" s="497"/>
      <c r="B82" s="497"/>
      <c r="C82" s="497"/>
      <c r="D82" s="497"/>
      <c r="E82" s="497"/>
      <c r="F82" s="497"/>
      <c r="G82" s="504"/>
      <c r="H82" s="191"/>
      <c r="I82" s="505"/>
      <c r="J82" s="191"/>
      <c r="K82" s="494"/>
      <c r="L82" s="506"/>
      <c r="M82" s="487"/>
      <c r="N82" s="487"/>
      <c r="O82" s="494"/>
      <c r="P82" s="494"/>
    </row>
    <row r="83" spans="1:16" s="49" customFormat="1" ht="12.5">
      <c r="A83" s="497"/>
      <c r="B83" s="497"/>
      <c r="C83" s="497"/>
      <c r="D83" s="497"/>
      <c r="E83" s="497"/>
      <c r="F83" s="497"/>
      <c r="G83" s="504"/>
      <c r="H83" s="191"/>
      <c r="I83" s="505"/>
      <c r="J83" s="191"/>
      <c r="K83" s="494"/>
      <c r="L83" s="506"/>
      <c r="M83" s="487"/>
      <c r="N83" s="487"/>
      <c r="O83" s="494"/>
      <c r="P83" s="494"/>
    </row>
    <row r="84" spans="1:16" s="49" customFormat="1" ht="12.5">
      <c r="A84" s="497"/>
      <c r="B84" s="497"/>
      <c r="C84" s="497"/>
      <c r="D84" s="497"/>
      <c r="E84" s="497"/>
      <c r="F84" s="497"/>
      <c r="G84" s="504"/>
      <c r="H84" s="191"/>
      <c r="I84" s="505"/>
      <c r="J84" s="191"/>
      <c r="K84" s="494"/>
      <c r="L84" s="506"/>
      <c r="M84" s="487"/>
      <c r="N84" s="487"/>
      <c r="O84" s="494"/>
      <c r="P84" s="494"/>
    </row>
    <row r="85" spans="1:16" s="49" customFormat="1" ht="12.5">
      <c r="A85" s="497"/>
      <c r="B85" s="497"/>
      <c r="C85" s="497"/>
      <c r="D85" s="497"/>
      <c r="E85" s="497"/>
      <c r="F85" s="497"/>
      <c r="G85" s="504"/>
      <c r="H85" s="191"/>
      <c r="I85" s="505"/>
      <c r="J85" s="191"/>
      <c r="K85" s="494"/>
      <c r="L85" s="506"/>
      <c r="M85" s="487"/>
      <c r="N85" s="487"/>
      <c r="O85" s="494"/>
      <c r="P85" s="494"/>
    </row>
    <row r="86" spans="1:16" s="49" customFormat="1" ht="12.5">
      <c r="A86" s="497"/>
      <c r="B86" s="497"/>
      <c r="C86" s="497"/>
      <c r="D86" s="497"/>
      <c r="E86" s="497"/>
      <c r="F86" s="497"/>
      <c r="G86" s="504"/>
      <c r="H86" s="191"/>
      <c r="I86" s="505"/>
      <c r="J86" s="191"/>
      <c r="K86" s="494"/>
      <c r="L86" s="506"/>
      <c r="M86" s="487"/>
      <c r="N86" s="487"/>
      <c r="O86" s="494"/>
      <c r="P86" s="494"/>
    </row>
    <row r="87" spans="1:16" s="49" customFormat="1" ht="12.5">
      <c r="A87" s="497"/>
      <c r="B87" s="497"/>
      <c r="C87" s="497"/>
      <c r="D87" s="497"/>
      <c r="E87" s="497"/>
      <c r="F87" s="497"/>
      <c r="G87" s="504"/>
      <c r="H87" s="191"/>
      <c r="I87" s="505"/>
      <c r="J87" s="191"/>
      <c r="K87" s="494"/>
      <c r="L87" s="506"/>
      <c r="M87" s="487"/>
      <c r="N87" s="487"/>
      <c r="O87" s="494"/>
      <c r="P87" s="494"/>
    </row>
    <row r="88" spans="1:16" s="49" customFormat="1" ht="12.5">
      <c r="A88" s="497"/>
      <c r="B88" s="497"/>
      <c r="C88" s="497"/>
      <c r="D88" s="497"/>
      <c r="E88" s="497"/>
      <c r="F88" s="497"/>
      <c r="G88" s="504"/>
      <c r="H88" s="191"/>
      <c r="I88" s="505"/>
      <c r="J88" s="191"/>
      <c r="K88" s="494"/>
      <c r="L88" s="506"/>
      <c r="M88" s="487"/>
      <c r="N88" s="487"/>
      <c r="O88" s="494"/>
      <c r="P88" s="494"/>
    </row>
    <row r="89" spans="1:16" s="49" customFormat="1" ht="12.5">
      <c r="A89" s="497"/>
      <c r="B89" s="497"/>
      <c r="C89" s="497"/>
      <c r="D89" s="497"/>
      <c r="E89" s="497"/>
      <c r="F89" s="497"/>
      <c r="G89" s="504"/>
      <c r="H89" s="191"/>
      <c r="I89" s="505"/>
      <c r="J89" s="191"/>
      <c r="K89" s="494"/>
      <c r="L89" s="506"/>
      <c r="M89" s="487"/>
      <c r="N89" s="487"/>
      <c r="O89" s="494"/>
      <c r="P89" s="494"/>
    </row>
    <row r="90" spans="1:16" s="49" customFormat="1" ht="12.5">
      <c r="A90" s="497"/>
      <c r="B90" s="497"/>
      <c r="C90" s="497"/>
      <c r="D90" s="497"/>
      <c r="E90" s="497"/>
      <c r="F90" s="497"/>
      <c r="G90" s="504"/>
      <c r="H90" s="191"/>
      <c r="I90" s="505"/>
      <c r="J90" s="191"/>
      <c r="K90" s="494"/>
      <c r="L90" s="506"/>
      <c r="M90" s="487"/>
      <c r="N90" s="487"/>
      <c r="O90" s="494"/>
      <c r="P90" s="494"/>
    </row>
    <row r="91" spans="1:16" s="49" customFormat="1" ht="12.5">
      <c r="A91" s="497"/>
      <c r="B91" s="497"/>
      <c r="C91" s="497"/>
      <c r="D91" s="497"/>
      <c r="E91" s="497"/>
      <c r="F91" s="497"/>
      <c r="G91" s="504"/>
      <c r="H91" s="191"/>
      <c r="I91" s="505"/>
      <c r="J91" s="191"/>
      <c r="K91" s="494"/>
      <c r="L91" s="506"/>
      <c r="M91" s="487"/>
      <c r="N91" s="487"/>
      <c r="O91" s="494"/>
      <c r="P91" s="494"/>
    </row>
    <row r="92" spans="1:16" s="49" customFormat="1" ht="12.5">
      <c r="A92" s="497"/>
      <c r="B92" s="497"/>
      <c r="C92" s="497"/>
      <c r="D92" s="497"/>
      <c r="E92" s="497"/>
      <c r="F92" s="497"/>
      <c r="G92" s="504"/>
      <c r="H92" s="191"/>
      <c r="I92" s="505"/>
      <c r="J92" s="191"/>
      <c r="K92" s="494"/>
      <c r="L92" s="506"/>
      <c r="M92" s="487"/>
      <c r="N92" s="487"/>
      <c r="O92" s="494"/>
      <c r="P92" s="494"/>
    </row>
    <row r="93" spans="1:16" s="49" customFormat="1" ht="12.5">
      <c r="A93" s="497"/>
      <c r="B93" s="497"/>
      <c r="C93" s="497"/>
      <c r="D93" s="497"/>
      <c r="E93" s="497"/>
      <c r="F93" s="497"/>
      <c r="G93" s="504"/>
      <c r="H93" s="191"/>
      <c r="I93" s="505"/>
      <c r="J93" s="191"/>
      <c r="K93" s="494"/>
      <c r="L93" s="506"/>
      <c r="M93" s="487"/>
      <c r="N93" s="487"/>
      <c r="O93" s="494"/>
      <c r="P93" s="494"/>
    </row>
    <row r="94" spans="1:16" s="49" customFormat="1" ht="12.5">
      <c r="A94" s="497"/>
      <c r="B94" s="497"/>
      <c r="C94" s="497"/>
      <c r="D94" s="497"/>
      <c r="E94" s="497"/>
      <c r="F94" s="497"/>
      <c r="G94" s="504"/>
      <c r="H94" s="191"/>
      <c r="I94" s="505"/>
      <c r="J94" s="191"/>
      <c r="K94" s="494"/>
      <c r="L94" s="506"/>
      <c r="M94" s="487"/>
      <c r="N94" s="487"/>
      <c r="O94" s="494"/>
      <c r="P94" s="494"/>
    </row>
    <row r="95" spans="1:16" s="49" customFormat="1" ht="12.5">
      <c r="A95" s="497"/>
      <c r="B95" s="497"/>
      <c r="C95" s="497"/>
      <c r="D95" s="497"/>
      <c r="E95" s="497"/>
      <c r="F95" s="497"/>
      <c r="G95" s="504"/>
      <c r="H95" s="191"/>
      <c r="I95" s="505"/>
      <c r="J95" s="191"/>
      <c r="K95" s="494"/>
      <c r="L95" s="506"/>
      <c r="M95" s="487"/>
      <c r="N95" s="487"/>
      <c r="O95" s="494"/>
      <c r="P95" s="494"/>
    </row>
    <row r="96" spans="1:16" s="49" customFormat="1" ht="12.5">
      <c r="A96" s="497"/>
      <c r="B96" s="497"/>
      <c r="C96" s="497"/>
      <c r="D96" s="497"/>
      <c r="E96" s="497"/>
      <c r="F96" s="497"/>
      <c r="G96" s="504"/>
      <c r="H96" s="191"/>
      <c r="I96" s="505"/>
      <c r="J96" s="191"/>
      <c r="K96" s="494"/>
      <c r="L96" s="506"/>
      <c r="M96" s="487"/>
      <c r="N96" s="487"/>
      <c r="O96" s="494"/>
      <c r="P96" s="494"/>
    </row>
    <row r="97" spans="1:16" s="49" customFormat="1" ht="12.5">
      <c r="A97" s="497"/>
      <c r="B97" s="497"/>
      <c r="C97" s="497"/>
      <c r="D97" s="497"/>
      <c r="E97" s="497"/>
      <c r="F97" s="497"/>
      <c r="G97" s="504"/>
      <c r="H97" s="191"/>
      <c r="I97" s="505"/>
      <c r="J97" s="191"/>
      <c r="K97" s="494"/>
      <c r="L97" s="506"/>
      <c r="M97" s="487"/>
      <c r="N97" s="487"/>
      <c r="O97" s="494"/>
      <c r="P97" s="494"/>
    </row>
    <row r="98" spans="1:16" s="49" customFormat="1" ht="12.5">
      <c r="A98" s="497"/>
      <c r="B98" s="497"/>
      <c r="C98" s="497"/>
      <c r="D98" s="497"/>
      <c r="E98" s="497"/>
      <c r="F98" s="497"/>
      <c r="G98" s="504"/>
      <c r="H98" s="191"/>
      <c r="I98" s="505"/>
      <c r="J98" s="191"/>
      <c r="K98" s="494"/>
      <c r="L98" s="506"/>
      <c r="M98" s="487"/>
      <c r="N98" s="487"/>
      <c r="O98" s="494"/>
      <c r="P98" s="494"/>
    </row>
    <row r="99" spans="1:16" s="49" customFormat="1" ht="12.5">
      <c r="A99" s="497"/>
      <c r="B99" s="497"/>
      <c r="C99" s="497"/>
      <c r="D99" s="497"/>
      <c r="E99" s="497"/>
      <c r="F99" s="497"/>
      <c r="G99" s="504"/>
      <c r="H99" s="191"/>
      <c r="I99" s="505"/>
      <c r="J99" s="191"/>
      <c r="K99" s="494"/>
      <c r="L99" s="506"/>
      <c r="M99" s="487"/>
      <c r="N99" s="487"/>
      <c r="O99" s="494"/>
      <c r="P99" s="494"/>
    </row>
    <row r="100" spans="1:16" s="49" customFormat="1" ht="12.5">
      <c r="A100" s="497"/>
      <c r="B100" s="497"/>
      <c r="C100" s="497"/>
      <c r="D100" s="497"/>
      <c r="E100" s="497"/>
      <c r="F100" s="497"/>
      <c r="G100" s="504"/>
      <c r="H100" s="191"/>
      <c r="I100" s="505"/>
      <c r="J100" s="191"/>
      <c r="K100" s="494"/>
      <c r="L100" s="506"/>
      <c r="M100" s="487"/>
      <c r="N100" s="487"/>
      <c r="O100" s="494"/>
      <c r="P100" s="494"/>
    </row>
    <row r="101" spans="1:16" s="49" customFormat="1" ht="12.5">
      <c r="A101" s="497"/>
      <c r="B101" s="497"/>
      <c r="C101" s="497"/>
      <c r="D101" s="497"/>
      <c r="E101" s="497"/>
      <c r="F101" s="497"/>
      <c r="G101" s="504"/>
      <c r="H101" s="191"/>
      <c r="I101" s="505"/>
      <c r="J101" s="191"/>
      <c r="K101" s="494"/>
      <c r="L101" s="506"/>
      <c r="M101" s="487"/>
      <c r="N101" s="487"/>
      <c r="O101" s="494"/>
      <c r="P101" s="494"/>
    </row>
    <row r="102" spans="1:16" s="49" customFormat="1" ht="12.5">
      <c r="A102" s="497"/>
      <c r="B102" s="497"/>
      <c r="C102" s="497"/>
      <c r="D102" s="497"/>
      <c r="E102" s="497"/>
      <c r="F102" s="497"/>
      <c r="G102" s="504"/>
      <c r="H102" s="191"/>
      <c r="I102" s="505"/>
      <c r="J102" s="191"/>
      <c r="K102" s="494"/>
      <c r="L102" s="506"/>
      <c r="M102" s="487"/>
      <c r="N102" s="487"/>
      <c r="O102" s="494"/>
      <c r="P102" s="494"/>
    </row>
    <row r="103" spans="1:16" s="49" customFormat="1" ht="12.5">
      <c r="A103" s="497"/>
      <c r="B103" s="497"/>
      <c r="C103" s="497"/>
      <c r="D103" s="497"/>
      <c r="E103" s="497"/>
      <c r="F103" s="497"/>
      <c r="G103" s="504"/>
      <c r="H103" s="191"/>
      <c r="I103" s="505"/>
      <c r="J103" s="191"/>
      <c r="K103" s="494"/>
      <c r="L103" s="506"/>
      <c r="M103" s="487"/>
      <c r="N103" s="487"/>
      <c r="O103" s="494"/>
      <c r="P103" s="494"/>
    </row>
    <row r="104" spans="1:16" s="49" customFormat="1" ht="12.5">
      <c r="A104" s="497"/>
      <c r="B104" s="497"/>
      <c r="C104" s="497"/>
      <c r="D104" s="497"/>
      <c r="E104" s="497"/>
      <c r="F104" s="497"/>
      <c r="G104" s="504"/>
      <c r="H104" s="191"/>
      <c r="I104" s="505"/>
      <c r="J104" s="191"/>
      <c r="K104" s="494"/>
      <c r="L104" s="506"/>
      <c r="M104" s="487"/>
      <c r="N104" s="487"/>
      <c r="O104" s="494"/>
      <c r="P104" s="494"/>
    </row>
    <row r="105" spans="1:16" s="49" customFormat="1" ht="12.5">
      <c r="A105" s="497"/>
      <c r="B105" s="497"/>
      <c r="C105" s="497"/>
      <c r="D105" s="497"/>
      <c r="E105" s="497"/>
      <c r="F105" s="497"/>
      <c r="G105" s="504"/>
      <c r="H105" s="191"/>
      <c r="I105" s="505"/>
      <c r="J105" s="191"/>
      <c r="K105" s="494"/>
      <c r="L105" s="506"/>
      <c r="M105" s="487"/>
      <c r="N105" s="487"/>
      <c r="O105" s="494"/>
      <c r="P105" s="494"/>
    </row>
    <row r="106" spans="1:16" s="49" customFormat="1" ht="12.5">
      <c r="A106" s="497"/>
      <c r="B106" s="497"/>
      <c r="C106" s="497"/>
      <c r="D106" s="497"/>
      <c r="E106" s="497"/>
      <c r="F106" s="497"/>
      <c r="G106" s="504"/>
      <c r="H106" s="191"/>
      <c r="I106" s="505"/>
      <c r="J106" s="191"/>
      <c r="K106" s="494"/>
      <c r="L106" s="506"/>
      <c r="M106" s="487"/>
      <c r="N106" s="487"/>
      <c r="O106" s="494"/>
      <c r="P106" s="494"/>
    </row>
    <row r="107" spans="1:16" s="49" customFormat="1" ht="12.5">
      <c r="A107" s="497"/>
      <c r="B107" s="497"/>
      <c r="C107" s="497"/>
      <c r="D107" s="497"/>
      <c r="E107" s="497"/>
      <c r="F107" s="497"/>
      <c r="G107" s="504"/>
      <c r="H107" s="191"/>
      <c r="I107" s="505"/>
      <c r="J107" s="191"/>
      <c r="K107" s="494"/>
      <c r="L107" s="506"/>
      <c r="M107" s="487"/>
      <c r="N107" s="487"/>
      <c r="O107" s="494"/>
      <c r="P107" s="494"/>
    </row>
    <row r="108" spans="1:16" s="49" customFormat="1" ht="12.5">
      <c r="A108" s="497"/>
      <c r="B108" s="497"/>
      <c r="C108" s="497"/>
      <c r="D108" s="497"/>
      <c r="E108" s="497"/>
      <c r="F108" s="497"/>
      <c r="G108" s="504"/>
      <c r="H108" s="191"/>
      <c r="I108" s="505"/>
      <c r="J108" s="191"/>
      <c r="K108" s="494"/>
      <c r="L108" s="506"/>
      <c r="M108" s="487"/>
      <c r="N108" s="487"/>
      <c r="O108" s="494"/>
      <c r="P108" s="494"/>
    </row>
    <row r="109" spans="1:16" s="49" customFormat="1" ht="12.5">
      <c r="A109" s="497"/>
      <c r="B109" s="497"/>
      <c r="C109" s="497"/>
      <c r="D109" s="497"/>
      <c r="E109" s="497"/>
      <c r="F109" s="497"/>
      <c r="G109" s="504"/>
      <c r="H109" s="191"/>
      <c r="I109" s="505"/>
      <c r="J109" s="191"/>
      <c r="K109" s="494"/>
      <c r="L109" s="506"/>
      <c r="M109" s="487"/>
      <c r="N109" s="487"/>
      <c r="O109" s="494"/>
      <c r="P109" s="494"/>
    </row>
    <row r="110" spans="1:16" s="49" customFormat="1" ht="12.5">
      <c r="A110" s="497"/>
      <c r="B110" s="497"/>
      <c r="C110" s="497"/>
      <c r="D110" s="497"/>
      <c r="E110" s="497"/>
      <c r="F110" s="497"/>
      <c r="G110" s="504"/>
      <c r="H110" s="191"/>
      <c r="I110" s="505"/>
      <c r="J110" s="191"/>
      <c r="K110" s="494"/>
      <c r="L110" s="506"/>
      <c r="M110" s="487"/>
      <c r="N110" s="487"/>
      <c r="O110" s="494"/>
      <c r="P110" s="494"/>
    </row>
    <row r="111" spans="1:16" s="49" customFormat="1" ht="12.5">
      <c r="A111" s="497"/>
      <c r="B111" s="497"/>
      <c r="C111" s="497"/>
      <c r="D111" s="497"/>
      <c r="E111" s="497"/>
      <c r="F111" s="497"/>
      <c r="G111" s="504"/>
      <c r="H111" s="191"/>
      <c r="I111" s="505"/>
      <c r="J111" s="191"/>
      <c r="K111" s="494"/>
      <c r="L111" s="506"/>
      <c r="M111" s="487"/>
      <c r="N111" s="487"/>
      <c r="O111" s="494"/>
      <c r="P111" s="494"/>
    </row>
    <row r="112" spans="1:16" s="49" customFormat="1" ht="12.5">
      <c r="A112" s="497"/>
      <c r="B112" s="497"/>
      <c r="C112" s="497"/>
      <c r="D112" s="497"/>
      <c r="E112" s="497"/>
      <c r="F112" s="497"/>
      <c r="G112" s="504"/>
      <c r="H112" s="191"/>
      <c r="I112" s="505"/>
      <c r="J112" s="191"/>
      <c r="K112" s="494"/>
      <c r="L112" s="506"/>
      <c r="M112" s="487"/>
      <c r="N112" s="487"/>
      <c r="O112" s="494"/>
      <c r="P112" s="494"/>
    </row>
    <row r="113" spans="1:16" s="49" customFormat="1">
      <c r="A113" s="191"/>
      <c r="B113" s="191"/>
      <c r="C113" s="191"/>
      <c r="D113" s="191"/>
      <c r="E113" s="191"/>
      <c r="F113" s="191"/>
      <c r="G113" s="191"/>
      <c r="H113" s="191"/>
      <c r="I113" s="191"/>
      <c r="J113" s="191"/>
      <c r="K113" s="494"/>
      <c r="L113" s="494"/>
      <c r="M113" s="494"/>
      <c r="N113" s="494"/>
      <c r="O113" s="494"/>
      <c r="P113" s="494"/>
    </row>
    <row r="114" spans="1:16" s="49" customFormat="1">
      <c r="A114" s="494"/>
      <c r="B114" s="494"/>
      <c r="C114" s="494"/>
      <c r="D114" s="494"/>
      <c r="E114" s="494"/>
      <c r="F114" s="494"/>
      <c r="G114" s="494"/>
      <c r="H114" s="494"/>
      <c r="I114" s="494"/>
      <c r="J114" s="494"/>
      <c r="K114" s="494"/>
      <c r="L114" s="494"/>
      <c r="M114" s="494"/>
      <c r="N114" s="494"/>
      <c r="O114" s="494"/>
      <c r="P114" s="494"/>
    </row>
    <row r="115" spans="1:16" s="49" customFormat="1">
      <c r="A115" s="494"/>
      <c r="B115" s="494"/>
      <c r="C115" s="494"/>
      <c r="D115" s="494"/>
      <c r="E115" s="494"/>
      <c r="F115" s="494"/>
      <c r="G115" s="494"/>
      <c r="H115" s="494"/>
      <c r="I115" s="494"/>
      <c r="J115" s="494"/>
      <c r="K115" s="494"/>
      <c r="L115" s="494"/>
      <c r="M115" s="494"/>
      <c r="N115" s="494"/>
      <c r="O115" s="494"/>
      <c r="P115" s="494"/>
    </row>
    <row r="116" spans="1:16" s="49" customFormat="1"/>
    <row r="117" spans="1:16" s="49" customFormat="1"/>
    <row r="118" spans="1:16" s="49" customFormat="1"/>
    <row r="119" spans="1:16" s="49" customFormat="1"/>
    <row r="120" spans="1:16" s="49" customFormat="1"/>
    <row r="121" spans="1:16" s="49" customFormat="1"/>
    <row r="122" spans="1:16" s="49" customFormat="1"/>
    <row r="123" spans="1:16" s="49" customFormat="1"/>
    <row r="124" spans="1:16" s="49" customFormat="1"/>
    <row r="125" spans="1:16" s="49" customFormat="1"/>
    <row r="126" spans="1:16" s="49" customFormat="1"/>
    <row r="127" spans="1:16" s="49" customFormat="1"/>
    <row r="128" spans="1:16" s="49" customFormat="1"/>
    <row r="129" s="49" customFormat="1"/>
    <row r="130" s="49" customFormat="1"/>
    <row r="131" s="49" customFormat="1"/>
    <row r="132" s="49" customFormat="1"/>
    <row r="133" s="49" customFormat="1"/>
    <row r="134" s="49" customFormat="1"/>
    <row r="135" s="49" customFormat="1"/>
    <row r="136" s="49" customFormat="1"/>
    <row r="137" s="49" customFormat="1"/>
    <row r="138" s="49" customFormat="1"/>
    <row r="139" s="49" customFormat="1"/>
    <row r="140" s="49" customFormat="1"/>
    <row r="141" s="49" customFormat="1"/>
    <row r="142" s="49" customFormat="1"/>
    <row r="143" s="49" customFormat="1"/>
    <row r="144" s="49" customFormat="1"/>
    <row r="145" s="49" customFormat="1"/>
    <row r="146" s="49" customFormat="1"/>
    <row r="147" s="49" customFormat="1"/>
    <row r="148" s="49" customFormat="1"/>
    <row r="149" s="49" customFormat="1"/>
    <row r="150" s="49" customFormat="1"/>
    <row r="151" s="49" customFormat="1"/>
    <row r="152" s="49" customFormat="1"/>
    <row r="153" s="49" customFormat="1"/>
    <row r="154" s="49" customFormat="1"/>
    <row r="155" s="49" customFormat="1"/>
    <row r="156" s="49" customFormat="1"/>
    <row r="157" s="49" customFormat="1"/>
    <row r="158" s="49" customFormat="1"/>
    <row r="159" s="49" customFormat="1"/>
    <row r="160" s="49" customFormat="1"/>
    <row r="161" s="49" customFormat="1"/>
    <row r="162" s="49" customFormat="1"/>
    <row r="163" s="49" customFormat="1"/>
    <row r="164" s="49" customFormat="1"/>
    <row r="165" s="49" customFormat="1"/>
    <row r="166" s="49" customFormat="1"/>
    <row r="167" s="49" customFormat="1"/>
    <row r="168" s="49" customFormat="1"/>
    <row r="169" s="49" customFormat="1"/>
    <row r="170" s="49" customFormat="1"/>
    <row r="171" s="49" customFormat="1"/>
    <row r="172" s="49" customFormat="1"/>
    <row r="173" s="49" customFormat="1"/>
    <row r="174" s="49" customFormat="1"/>
    <row r="175" s="49" customFormat="1"/>
    <row r="176" s="49" customFormat="1"/>
    <row r="177" s="49" customFormat="1"/>
    <row r="178" s="49" customFormat="1"/>
    <row r="179" s="49" customFormat="1"/>
    <row r="180" s="49" customFormat="1"/>
    <row r="181" s="49" customFormat="1"/>
    <row r="182" s="49" customFormat="1"/>
    <row r="183" s="49" customFormat="1"/>
    <row r="184" s="49" customFormat="1"/>
    <row r="185" s="49" customFormat="1"/>
    <row r="186" s="49" customFormat="1"/>
    <row r="187" s="49" customFormat="1"/>
    <row r="188" s="49" customFormat="1"/>
    <row r="189" s="49" customFormat="1"/>
    <row r="190" s="49" customFormat="1"/>
    <row r="191" s="49" customFormat="1"/>
    <row r="192" s="49" customFormat="1"/>
    <row r="193" s="49" customFormat="1"/>
    <row r="194" s="49" customFormat="1"/>
    <row r="195" s="49" customFormat="1"/>
    <row r="196" s="49" customFormat="1"/>
    <row r="197" s="49" customFormat="1"/>
    <row r="198" s="49" customFormat="1"/>
    <row r="199" s="49" customFormat="1"/>
    <row r="200" s="49" customFormat="1"/>
    <row r="201" s="49" customFormat="1"/>
    <row r="202" s="49" customFormat="1"/>
    <row r="203" s="49" customFormat="1"/>
    <row r="204" s="49" customFormat="1"/>
    <row r="205" s="49" customFormat="1"/>
    <row r="206" s="49" customFormat="1"/>
    <row r="207" s="49" customFormat="1"/>
    <row r="208" s="49" customFormat="1"/>
    <row r="209" s="49" customFormat="1"/>
    <row r="210" s="49" customFormat="1"/>
    <row r="211" s="49" customFormat="1"/>
    <row r="212" s="49" customFormat="1"/>
    <row r="213" s="49" customFormat="1"/>
    <row r="214" s="49" customFormat="1"/>
    <row r="215" s="49" customFormat="1"/>
    <row r="216" s="49" customFormat="1"/>
    <row r="217" s="49" customFormat="1"/>
    <row r="218" s="49" customFormat="1"/>
    <row r="219" s="49" customFormat="1"/>
    <row r="220" s="49" customFormat="1"/>
    <row r="221" s="49" customFormat="1"/>
    <row r="222" s="49" customFormat="1"/>
    <row r="223" s="49" customFormat="1"/>
    <row r="224" s="49" customFormat="1"/>
    <row r="225" s="49" customFormat="1"/>
    <row r="226" s="49" customFormat="1"/>
    <row r="227" s="49" customFormat="1"/>
    <row r="228" s="49" customFormat="1"/>
    <row r="229" s="49" customFormat="1"/>
    <row r="230" s="49" customFormat="1"/>
    <row r="231" s="49" customFormat="1"/>
    <row r="232" s="49" customFormat="1"/>
    <row r="233" s="49" customFormat="1"/>
    <row r="234" s="49" customFormat="1"/>
    <row r="235" s="49" customFormat="1"/>
    <row r="236" s="49" customFormat="1"/>
    <row r="237" s="49" customFormat="1"/>
    <row r="238" s="49" customFormat="1"/>
    <row r="239" s="49" customFormat="1"/>
    <row r="240" s="49" customFormat="1"/>
    <row r="241" s="49" customFormat="1"/>
    <row r="242" s="49" customFormat="1"/>
    <row r="243" s="49" customFormat="1"/>
    <row r="244" s="49" customFormat="1"/>
    <row r="245" s="49" customFormat="1"/>
    <row r="246" s="49" customFormat="1"/>
    <row r="247" s="49" customFormat="1"/>
    <row r="248" s="49" customFormat="1"/>
    <row r="249" s="49" customFormat="1"/>
    <row r="250" s="49" customFormat="1"/>
    <row r="251" s="49" customFormat="1"/>
    <row r="252" s="49" customFormat="1"/>
    <row r="253" s="49" customFormat="1"/>
    <row r="254" s="49" customFormat="1"/>
    <row r="255" s="49" customFormat="1"/>
    <row r="256" s="49" customFormat="1"/>
    <row r="257" s="49" customFormat="1"/>
    <row r="258" s="49" customFormat="1"/>
    <row r="259" s="49" customFormat="1"/>
    <row r="260" s="49" customFormat="1"/>
    <row r="261" s="49" customFormat="1"/>
    <row r="262" s="49" customFormat="1"/>
    <row r="263" s="49" customFormat="1"/>
    <row r="264" s="49" customFormat="1"/>
    <row r="265" s="49" customFormat="1"/>
    <row r="266" s="49" customFormat="1"/>
    <row r="267" s="49" customFormat="1"/>
    <row r="268" s="49" customFormat="1"/>
    <row r="269" s="49" customFormat="1"/>
    <row r="270" s="49" customFormat="1"/>
    <row r="271" s="49" customFormat="1"/>
    <row r="272" s="49" customFormat="1"/>
    <row r="273" s="49" customFormat="1"/>
    <row r="274" s="49" customFormat="1"/>
    <row r="275" s="49" customFormat="1"/>
    <row r="276" s="49" customFormat="1"/>
    <row r="277" s="49" customFormat="1"/>
    <row r="278" s="49" customFormat="1"/>
    <row r="279" s="49" customFormat="1"/>
    <row r="280" s="49" customFormat="1"/>
    <row r="281" s="49" customFormat="1"/>
    <row r="282" s="49" customFormat="1"/>
    <row r="283" s="49" customFormat="1"/>
    <row r="284" s="49" customFormat="1"/>
    <row r="285" s="49" customFormat="1"/>
    <row r="286" s="49" customFormat="1"/>
    <row r="287" s="49" customFormat="1"/>
    <row r="288" s="49" customFormat="1"/>
    <row r="289" s="49" customFormat="1"/>
    <row r="290" s="49" customFormat="1"/>
    <row r="291" s="49" customFormat="1"/>
    <row r="292" s="49" customFormat="1"/>
    <row r="293" s="49" customFormat="1"/>
    <row r="294" s="49" customFormat="1"/>
    <row r="295" s="49" customFormat="1"/>
    <row r="296" s="49" customFormat="1"/>
    <row r="297" s="49" customFormat="1"/>
    <row r="298" s="49" customFormat="1"/>
    <row r="299" s="49" customFormat="1"/>
    <row r="300" s="49" customFormat="1"/>
    <row r="301" s="49" customFormat="1"/>
    <row r="302" s="49" customFormat="1"/>
    <row r="303" s="49" customFormat="1"/>
    <row r="304" s="49" customFormat="1"/>
    <row r="305" s="49" customFormat="1"/>
    <row r="306" s="49" customFormat="1"/>
    <row r="307" s="49" customFormat="1"/>
    <row r="308" s="49" customFormat="1"/>
    <row r="309" s="49" customFormat="1"/>
    <row r="310" s="49" customFormat="1"/>
    <row r="311" s="49" customFormat="1"/>
    <row r="312" s="49" customFormat="1"/>
    <row r="313" s="49" customFormat="1"/>
    <row r="314" s="49" customFormat="1"/>
    <row r="315" s="49" customFormat="1"/>
    <row r="316" s="49" customFormat="1"/>
    <row r="317" s="49" customFormat="1"/>
    <row r="318" s="49" customFormat="1"/>
    <row r="319" s="49" customFormat="1"/>
    <row r="320" s="49" customFormat="1"/>
    <row r="321" s="49" customFormat="1"/>
    <row r="322" s="49" customFormat="1"/>
    <row r="323" s="49" customFormat="1"/>
    <row r="324" s="49" customFormat="1"/>
  </sheetData>
  <sheetProtection password="C849" sheet="1" objects="1" scenarios="1"/>
  <mergeCells count="1">
    <mergeCell ref="I3:N3"/>
  </mergeCells>
  <phoneticPr fontId="132" type="noConversion"/>
  <pageMargins left="0.75" right="0.75" top="1" bottom="1" header="0.5" footer="0.5"/>
  <pageSetup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51"/>
  <sheetViews>
    <sheetView topLeftCell="A3" zoomScaleNormal="100" workbookViewId="0">
      <pane ySplit="1320" topLeftCell="A85" activePane="bottomLeft"/>
      <selection activeCell="B4" sqref="B4"/>
      <selection pane="bottomLeft" activeCell="C111" sqref="C111"/>
    </sheetView>
  </sheetViews>
  <sheetFormatPr defaultColWidth="9" defaultRowHeight="16.5"/>
  <cols>
    <col min="1" max="1" width="25.59765625" style="794" customWidth="1"/>
    <col min="2" max="2" width="28.8984375" style="794" customWidth="1"/>
    <col min="3" max="3" width="7.59765625" style="795" customWidth="1"/>
    <col min="4" max="4" width="6.296875" style="795" customWidth="1"/>
    <col min="5" max="5" width="8" style="794" customWidth="1"/>
    <col min="6" max="6" width="6" style="794" customWidth="1"/>
    <col min="7" max="7" width="9.8984375" style="794" customWidth="1"/>
    <col min="8" max="8" width="6.09765625" style="794" customWidth="1"/>
    <col min="9" max="9" width="8" style="795" customWidth="1"/>
    <col min="10" max="10" width="10.3984375" style="795" customWidth="1"/>
    <col min="11" max="11" width="7.3984375" style="794" bestFit="1" customWidth="1"/>
    <col min="12" max="12" width="7.09765625" style="794" customWidth="1"/>
    <col min="13" max="13" width="6.8984375" style="794" customWidth="1"/>
    <col min="14" max="14" width="8.3984375" style="794" customWidth="1"/>
    <col min="15" max="15" width="1.59765625" style="794" customWidth="1"/>
    <col min="16" max="16" width="7.3984375" style="794" customWidth="1"/>
    <col min="17" max="20" width="7.3984375" style="795" customWidth="1"/>
    <col min="21" max="21" width="7.3984375" style="794" customWidth="1"/>
    <col min="22" max="16384" width="9" style="794"/>
  </cols>
  <sheetData>
    <row r="1" spans="1:23" ht="17" thickBot="1">
      <c r="A1" s="794" t="s">
        <v>293</v>
      </c>
      <c r="B1" s="796"/>
      <c r="C1" s="823" t="s">
        <v>510</v>
      </c>
      <c r="F1" s="795"/>
      <c r="G1" s="810" t="s">
        <v>464</v>
      </c>
      <c r="I1" s="1323" t="s">
        <v>519</v>
      </c>
      <c r="J1" s="1323"/>
      <c r="L1" s="794" t="s">
        <v>475</v>
      </c>
      <c r="P1" s="51" t="s">
        <v>23</v>
      </c>
    </row>
    <row r="2" spans="1:23" ht="17.5" thickTop="1" thickBot="1">
      <c r="A2" s="794" t="s">
        <v>516</v>
      </c>
      <c r="B2" s="796"/>
      <c r="C2" s="1316" t="s">
        <v>511</v>
      </c>
      <c r="D2" s="1317"/>
      <c r="E2" s="1317"/>
      <c r="F2" s="1317"/>
      <c r="G2" s="1318"/>
      <c r="I2" s="795">
        <v>7</v>
      </c>
      <c r="J2" s="795">
        <v>8</v>
      </c>
      <c r="L2" s="1329" t="s">
        <v>465</v>
      </c>
      <c r="M2" s="1329"/>
      <c r="N2" s="1329"/>
      <c r="P2" s="51" t="s">
        <v>24</v>
      </c>
    </row>
    <row r="3" spans="1:23" ht="17.5" thickTop="1" thickBot="1">
      <c r="A3" s="808"/>
      <c r="B3" s="809"/>
      <c r="C3" s="889"/>
      <c r="D3" s="1327" t="s">
        <v>478</v>
      </c>
      <c r="E3" s="1327"/>
      <c r="F3" s="1327"/>
      <c r="G3" s="1328"/>
      <c r="H3" s="1324" t="s">
        <v>518</v>
      </c>
      <c r="I3" s="1325"/>
      <c r="J3" s="1325"/>
      <c r="K3" s="1326"/>
      <c r="L3" s="1324" t="s">
        <v>525</v>
      </c>
      <c r="M3" s="1325"/>
      <c r="N3" s="1326"/>
      <c r="P3" s="1314" t="s">
        <v>1005</v>
      </c>
      <c r="Q3" s="1315"/>
      <c r="R3" s="1321" t="s">
        <v>1006</v>
      </c>
      <c r="S3" s="1322"/>
      <c r="T3" s="1319" t="s">
        <v>514</v>
      </c>
      <c r="U3" s="1320"/>
    </row>
    <row r="4" spans="1:23" ht="36.65" customHeight="1" thickBot="1">
      <c r="A4" s="806" t="s">
        <v>458</v>
      </c>
      <c r="B4" s="807" t="s">
        <v>459</v>
      </c>
      <c r="C4" s="950" t="s">
        <v>450</v>
      </c>
      <c r="D4" s="831" t="s">
        <v>534</v>
      </c>
      <c r="E4" s="829" t="s">
        <v>460</v>
      </c>
      <c r="F4" s="831" t="s">
        <v>1159</v>
      </c>
      <c r="G4" s="830" t="s">
        <v>1059</v>
      </c>
      <c r="H4" s="882" t="s">
        <v>1009</v>
      </c>
      <c r="I4" s="893" t="s">
        <v>520</v>
      </c>
      <c r="J4" s="832" t="s">
        <v>521</v>
      </c>
      <c r="K4" s="883" t="s">
        <v>627</v>
      </c>
      <c r="L4" s="873" t="s">
        <v>1016</v>
      </c>
      <c r="M4" s="812" t="s">
        <v>27</v>
      </c>
      <c r="N4" s="833" t="s">
        <v>35</v>
      </c>
      <c r="P4" s="839" t="s">
        <v>508</v>
      </c>
      <c r="Q4" s="840" t="s">
        <v>507</v>
      </c>
      <c r="R4" s="861" t="s">
        <v>508</v>
      </c>
      <c r="S4" s="862" t="s">
        <v>507</v>
      </c>
      <c r="T4" s="841" t="s">
        <v>508</v>
      </c>
      <c r="U4" s="842" t="s">
        <v>507</v>
      </c>
    </row>
    <row r="5" spans="1:23">
      <c r="A5" s="796" t="s">
        <v>638</v>
      </c>
      <c r="B5" s="796" t="s">
        <v>639</v>
      </c>
      <c r="C5" s="834">
        <v>1</v>
      </c>
      <c r="D5" s="890">
        <v>2</v>
      </c>
      <c r="E5" s="828">
        <f>D5/1.77</f>
        <v>1.1299435028248588</v>
      </c>
      <c r="F5" s="820">
        <v>7.3</v>
      </c>
      <c r="G5" s="822">
        <f t="shared" ref="G5:G18" si="0">(0.5091-161.58*F5)/(1+484.2*F5-16.14*POWER(F5,2))</f>
        <v>-0.44066481947662983</v>
      </c>
      <c r="H5" s="878">
        <v>7.5</v>
      </c>
      <c r="I5" s="743">
        <v>6.8</v>
      </c>
      <c r="J5" s="743">
        <v>1.3</v>
      </c>
      <c r="K5" s="884">
        <f>(1.2627176*J5)+(0.29161387*J5*J5)</f>
        <v>2.1343603202999999</v>
      </c>
      <c r="L5" s="874">
        <v>23</v>
      </c>
      <c r="M5" s="819">
        <f>L5+6</f>
        <v>29</v>
      </c>
      <c r="N5" s="835">
        <f t="shared" ref="N5:N40" si="1">213.96744-39.579185*L5+2.3020512*L5*L5</f>
        <v>521.4312698</v>
      </c>
      <c r="P5" s="843" t="s">
        <v>476</v>
      </c>
      <c r="Q5" s="844">
        <v>1</v>
      </c>
      <c r="R5" s="863"/>
      <c r="S5" s="864"/>
      <c r="T5" s="845" t="s">
        <v>476</v>
      </c>
      <c r="U5" s="846">
        <v>4</v>
      </c>
      <c r="V5" s="811"/>
      <c r="W5" s="811"/>
    </row>
    <row r="6" spans="1:23">
      <c r="A6" s="796" t="s">
        <v>640</v>
      </c>
      <c r="B6" s="815"/>
      <c r="C6" s="834">
        <v>2</v>
      </c>
      <c r="D6" s="890">
        <v>1.5</v>
      </c>
      <c r="E6" s="828">
        <f t="shared" ref="E6:E69" si="2">D6/1.77</f>
        <v>0.84745762711864403</v>
      </c>
      <c r="F6" s="820">
        <v>19</v>
      </c>
      <c r="G6" s="822">
        <f t="shared" si="0"/>
        <v>-0.9096841677879004</v>
      </c>
      <c r="H6" s="885" t="s">
        <v>1026</v>
      </c>
      <c r="I6" s="894">
        <v>6.25</v>
      </c>
      <c r="J6" s="894">
        <v>0.75</v>
      </c>
      <c r="K6" s="884">
        <f t="shared" ref="K6:K46" si="3">(1.2627176*J6)+(0.29161387*J6*J6)</f>
        <v>1.1110710018750001</v>
      </c>
      <c r="L6" s="874">
        <v>19</v>
      </c>
      <c r="M6" s="819">
        <f t="shared" ref="M6:M70" si="4">L6+6</f>
        <v>25</v>
      </c>
      <c r="N6" s="835">
        <f t="shared" si="1"/>
        <v>293.00340820000008</v>
      </c>
      <c r="P6" s="847" t="s">
        <v>476</v>
      </c>
      <c r="Q6" s="836">
        <v>1</v>
      </c>
      <c r="R6" s="865"/>
      <c r="S6" s="866"/>
      <c r="T6" s="848"/>
      <c r="U6" s="849"/>
      <c r="V6" s="814"/>
      <c r="W6" s="814"/>
    </row>
    <row r="7" spans="1:23">
      <c r="A7" s="796" t="s">
        <v>641</v>
      </c>
      <c r="B7" s="796" t="s">
        <v>642</v>
      </c>
      <c r="C7" s="834">
        <v>3</v>
      </c>
      <c r="D7" s="890">
        <v>1.6</v>
      </c>
      <c r="E7" s="828">
        <f t="shared" si="2"/>
        <v>0.903954802259887</v>
      </c>
      <c r="F7" s="820">
        <v>10</v>
      </c>
      <c r="G7" s="822">
        <f t="shared" si="0"/>
        <v>-0.50024493651285229</v>
      </c>
      <c r="H7" s="886">
        <v>7</v>
      </c>
      <c r="I7" s="894">
        <v>6.3</v>
      </c>
      <c r="J7" s="894">
        <v>0.7</v>
      </c>
      <c r="K7" s="884">
        <f t="shared" si="3"/>
        <v>1.0267931162999999</v>
      </c>
      <c r="L7" s="874">
        <v>19</v>
      </c>
      <c r="M7" s="819">
        <f t="shared" si="4"/>
        <v>25</v>
      </c>
      <c r="N7" s="835">
        <f t="shared" si="1"/>
        <v>293.00340820000008</v>
      </c>
      <c r="P7" s="847"/>
      <c r="Q7" s="836"/>
      <c r="R7" s="865"/>
      <c r="S7" s="866"/>
      <c r="T7" s="848"/>
      <c r="U7" s="849"/>
      <c r="V7" s="814"/>
      <c r="W7" s="814"/>
    </row>
    <row r="8" spans="1:23">
      <c r="A8" s="796" t="s">
        <v>482</v>
      </c>
      <c r="B8" s="815"/>
      <c r="C8" s="834">
        <v>4</v>
      </c>
      <c r="D8" s="890">
        <v>1.6</v>
      </c>
      <c r="E8" s="828">
        <f t="shared" si="2"/>
        <v>0.903954802259887</v>
      </c>
      <c r="F8" s="820">
        <v>24</v>
      </c>
      <c r="G8" s="822">
        <f t="shared" si="0"/>
        <v>-1.6675888541003629</v>
      </c>
      <c r="H8" s="885" t="s">
        <v>1026</v>
      </c>
      <c r="I8" s="894">
        <v>6.25</v>
      </c>
      <c r="J8" s="894">
        <v>0.75</v>
      </c>
      <c r="K8" s="884">
        <f t="shared" si="3"/>
        <v>1.1110710018750001</v>
      </c>
      <c r="L8" s="874">
        <v>19</v>
      </c>
      <c r="M8" s="819">
        <f t="shared" si="4"/>
        <v>25</v>
      </c>
      <c r="N8" s="835">
        <f t="shared" si="1"/>
        <v>293.00340820000008</v>
      </c>
      <c r="P8" s="847" t="s">
        <v>476</v>
      </c>
      <c r="Q8" s="836">
        <v>1</v>
      </c>
      <c r="R8" s="865"/>
      <c r="S8" s="866"/>
      <c r="T8" s="850"/>
      <c r="U8" s="851"/>
      <c r="V8" s="814"/>
      <c r="W8" s="814"/>
    </row>
    <row r="9" spans="1:23">
      <c r="A9" s="796" t="s">
        <v>644</v>
      </c>
      <c r="B9" s="796" t="s">
        <v>645</v>
      </c>
      <c r="C9" s="834">
        <v>5</v>
      </c>
      <c r="D9" s="890">
        <v>7.1</v>
      </c>
      <c r="E9" s="828">
        <f t="shared" si="2"/>
        <v>4.0112994350282483</v>
      </c>
      <c r="F9" s="820">
        <v>10</v>
      </c>
      <c r="G9" s="822">
        <f t="shared" si="0"/>
        <v>-0.50024493651285229</v>
      </c>
      <c r="H9" s="886">
        <v>7</v>
      </c>
      <c r="I9" s="894">
        <v>6.5</v>
      </c>
      <c r="J9" s="894">
        <v>0.6</v>
      </c>
      <c r="K9" s="884">
        <f t="shared" si="3"/>
        <v>0.86261155319999994</v>
      </c>
      <c r="L9" s="874">
        <v>19</v>
      </c>
      <c r="M9" s="819">
        <f t="shared" si="4"/>
        <v>25</v>
      </c>
      <c r="N9" s="835">
        <f t="shared" si="1"/>
        <v>293.00340820000008</v>
      </c>
      <c r="P9" s="847"/>
      <c r="Q9" s="836"/>
      <c r="R9" s="865"/>
      <c r="S9" s="866"/>
      <c r="T9" s="850"/>
      <c r="U9" s="851"/>
    </row>
    <row r="10" spans="1:23">
      <c r="A10" s="796" t="s">
        <v>646</v>
      </c>
      <c r="B10" s="796" t="s">
        <v>647</v>
      </c>
      <c r="C10" s="834">
        <v>6</v>
      </c>
      <c r="D10" s="890">
        <v>1.6</v>
      </c>
      <c r="E10" s="828">
        <f t="shared" si="2"/>
        <v>0.903954802259887</v>
      </c>
      <c r="F10" s="820">
        <v>10</v>
      </c>
      <c r="G10" s="822">
        <f t="shared" si="0"/>
        <v>-0.50024493651285229</v>
      </c>
      <c r="H10" s="886">
        <v>8.3000000000000007</v>
      </c>
      <c r="I10" s="894">
        <v>6.3</v>
      </c>
      <c r="J10" s="894">
        <v>2</v>
      </c>
      <c r="K10" s="884">
        <f t="shared" si="3"/>
        <v>3.6918906800000002</v>
      </c>
      <c r="L10" s="874">
        <v>19</v>
      </c>
      <c r="M10" s="819">
        <f t="shared" si="4"/>
        <v>25</v>
      </c>
      <c r="N10" s="835">
        <f t="shared" si="1"/>
        <v>293.00340820000008</v>
      </c>
      <c r="P10" s="847"/>
      <c r="Q10" s="836"/>
      <c r="R10" s="865"/>
      <c r="S10" s="866"/>
      <c r="T10" s="850"/>
      <c r="U10" s="851"/>
    </row>
    <row r="11" spans="1:23">
      <c r="A11" s="796" t="s">
        <v>648</v>
      </c>
      <c r="B11" s="796" t="s">
        <v>649</v>
      </c>
      <c r="C11" s="834">
        <v>7</v>
      </c>
      <c r="D11" s="890">
        <v>4.4000000000000004</v>
      </c>
      <c r="E11" s="828">
        <f t="shared" si="2"/>
        <v>2.4858757062146895</v>
      </c>
      <c r="F11" s="820">
        <v>10</v>
      </c>
      <c r="G11" s="822">
        <f t="shared" si="0"/>
        <v>-0.50024493651285229</v>
      </c>
      <c r="H11" s="878">
        <v>8.3000000000000007</v>
      </c>
      <c r="I11" s="743">
        <v>6.3</v>
      </c>
      <c r="J11" s="743">
        <v>2</v>
      </c>
      <c r="K11" s="884">
        <f t="shared" si="3"/>
        <v>3.6918906800000002</v>
      </c>
      <c r="L11" s="874">
        <v>19</v>
      </c>
      <c r="M11" s="819">
        <f t="shared" si="4"/>
        <v>25</v>
      </c>
      <c r="N11" s="835">
        <f t="shared" si="1"/>
        <v>293.00340820000008</v>
      </c>
      <c r="P11" s="847"/>
      <c r="Q11" s="836"/>
      <c r="R11" s="865"/>
      <c r="S11" s="866"/>
      <c r="T11" s="850"/>
      <c r="U11" s="851"/>
    </row>
    <row r="12" spans="1:23">
      <c r="A12" s="796" t="s">
        <v>466</v>
      </c>
      <c r="B12" s="796" t="s">
        <v>651</v>
      </c>
      <c r="C12" s="834">
        <v>8</v>
      </c>
      <c r="D12" s="890">
        <v>6</v>
      </c>
      <c r="E12" s="828">
        <f t="shared" si="2"/>
        <v>3.3898305084745761</v>
      </c>
      <c r="F12" s="820">
        <v>7.1</v>
      </c>
      <c r="G12" s="822">
        <f t="shared" si="0"/>
        <v>-0.43680777247439884</v>
      </c>
      <c r="H12" s="878">
        <v>7</v>
      </c>
      <c r="I12" s="743">
        <v>6.25</v>
      </c>
      <c r="J12" s="743">
        <v>0.75</v>
      </c>
      <c r="K12" s="884">
        <f t="shared" si="3"/>
        <v>1.1110710018750001</v>
      </c>
      <c r="L12" s="874">
        <v>19</v>
      </c>
      <c r="M12" s="819">
        <f t="shared" si="4"/>
        <v>25</v>
      </c>
      <c r="N12" s="835">
        <f t="shared" si="1"/>
        <v>293.00340820000008</v>
      </c>
      <c r="P12" s="847" t="s">
        <v>476</v>
      </c>
      <c r="Q12" s="836">
        <v>1</v>
      </c>
      <c r="R12" s="865"/>
      <c r="S12" s="866"/>
      <c r="T12" s="850"/>
      <c r="U12" s="852"/>
    </row>
    <row r="13" spans="1:23">
      <c r="A13" s="796" t="s">
        <v>467</v>
      </c>
      <c r="B13" s="796" t="s">
        <v>655</v>
      </c>
      <c r="C13" s="834">
        <v>9</v>
      </c>
      <c r="D13" s="890">
        <v>1</v>
      </c>
      <c r="E13" s="828">
        <f t="shared" si="2"/>
        <v>0.56497175141242939</v>
      </c>
      <c r="F13" s="820">
        <v>19</v>
      </c>
      <c r="G13" s="822">
        <f t="shared" si="0"/>
        <v>-0.9096841677879004</v>
      </c>
      <c r="H13" s="878">
        <v>6.5</v>
      </c>
      <c r="I13" s="743">
        <v>6.15</v>
      </c>
      <c r="J13" s="743">
        <v>1.5</v>
      </c>
      <c r="K13" s="884">
        <f t="shared" si="3"/>
        <v>2.5502076075</v>
      </c>
      <c r="L13" s="874">
        <v>20</v>
      </c>
      <c r="M13" s="819">
        <f t="shared" si="4"/>
        <v>26</v>
      </c>
      <c r="N13" s="835">
        <f t="shared" si="1"/>
        <v>343.20422000000008</v>
      </c>
      <c r="P13" s="847" t="s">
        <v>476</v>
      </c>
      <c r="Q13" s="836">
        <v>1</v>
      </c>
      <c r="R13" s="865"/>
      <c r="S13" s="866"/>
      <c r="T13" s="850"/>
      <c r="U13" s="852"/>
    </row>
    <row r="14" spans="1:23">
      <c r="A14" s="796" t="s">
        <v>504</v>
      </c>
      <c r="B14" s="796"/>
      <c r="C14" s="834">
        <v>10</v>
      </c>
      <c r="D14" s="890">
        <v>4</v>
      </c>
      <c r="E14" s="828">
        <f t="shared" si="2"/>
        <v>2.2598870056497176</v>
      </c>
      <c r="F14" s="820">
        <v>9</v>
      </c>
      <c r="G14" s="822">
        <f t="shared" si="0"/>
        <v>-0.47639847810556257</v>
      </c>
      <c r="H14" s="878"/>
      <c r="I14" s="743"/>
      <c r="J14" s="743"/>
      <c r="K14" s="884"/>
      <c r="L14" s="874"/>
      <c r="M14" s="819"/>
      <c r="N14" s="835"/>
      <c r="P14" s="847" t="s">
        <v>476</v>
      </c>
      <c r="Q14" s="836">
        <v>1</v>
      </c>
      <c r="R14" s="865"/>
      <c r="S14" s="866"/>
      <c r="T14" s="850"/>
      <c r="U14" s="852"/>
    </row>
    <row r="15" spans="1:23">
      <c r="A15" s="816" t="s">
        <v>468</v>
      </c>
      <c r="B15" s="816" t="s">
        <v>659</v>
      </c>
      <c r="C15" s="834">
        <v>11</v>
      </c>
      <c r="D15" s="890">
        <v>6.9</v>
      </c>
      <c r="E15" s="828">
        <f t="shared" si="2"/>
        <v>3.898305084745763</v>
      </c>
      <c r="F15" s="820">
        <v>6.4</v>
      </c>
      <c r="G15" s="822">
        <f t="shared" si="0"/>
        <v>-0.42381868254429583</v>
      </c>
      <c r="H15" s="878">
        <v>8.3000000000000007</v>
      </c>
      <c r="I15" s="743">
        <v>6.3</v>
      </c>
      <c r="J15" s="743">
        <v>2</v>
      </c>
      <c r="K15" s="884">
        <f t="shared" si="3"/>
        <v>3.6918906800000002</v>
      </c>
      <c r="L15" s="874">
        <v>19</v>
      </c>
      <c r="M15" s="819">
        <f t="shared" si="4"/>
        <v>25</v>
      </c>
      <c r="N15" s="835">
        <f t="shared" si="1"/>
        <v>293.00340820000008</v>
      </c>
      <c r="P15" s="847" t="s">
        <v>476</v>
      </c>
      <c r="Q15" s="836">
        <v>1</v>
      </c>
      <c r="R15" s="865"/>
      <c r="S15" s="866"/>
      <c r="T15" s="850"/>
      <c r="U15" s="852"/>
      <c r="V15" s="814"/>
      <c r="W15" s="814"/>
    </row>
    <row r="16" spans="1:23">
      <c r="A16" s="796" t="s">
        <v>480</v>
      </c>
      <c r="B16" s="796" t="s">
        <v>657</v>
      </c>
      <c r="C16" s="834">
        <v>12</v>
      </c>
      <c r="D16" s="890">
        <v>1.5</v>
      </c>
      <c r="E16" s="828">
        <f t="shared" si="2"/>
        <v>0.84745762711864403</v>
      </c>
      <c r="F16" s="820">
        <v>22</v>
      </c>
      <c r="G16" s="822">
        <f t="shared" si="0"/>
        <v>-1.2507745175321296</v>
      </c>
      <c r="H16" s="878">
        <v>8</v>
      </c>
      <c r="I16" s="743">
        <v>6.25</v>
      </c>
      <c r="J16" s="743">
        <v>1.75</v>
      </c>
      <c r="K16" s="884">
        <f t="shared" si="3"/>
        <v>3.1028232768750001</v>
      </c>
      <c r="L16" s="874">
        <v>19</v>
      </c>
      <c r="M16" s="819">
        <f t="shared" si="4"/>
        <v>25</v>
      </c>
      <c r="N16" s="835">
        <f t="shared" si="1"/>
        <v>293.00340820000008</v>
      </c>
      <c r="P16" s="847" t="s">
        <v>476</v>
      </c>
      <c r="Q16" s="836">
        <v>1</v>
      </c>
      <c r="R16" s="865"/>
      <c r="S16" s="866"/>
      <c r="T16" s="850"/>
      <c r="U16" s="852"/>
      <c r="V16" s="814"/>
      <c r="W16" s="814"/>
    </row>
    <row r="17" spans="1:23">
      <c r="A17" s="796" t="s">
        <v>652</v>
      </c>
      <c r="B17" s="796" t="s">
        <v>653</v>
      </c>
      <c r="C17" s="834">
        <v>13</v>
      </c>
      <c r="D17" s="890">
        <v>2</v>
      </c>
      <c r="E17" s="828">
        <f t="shared" si="2"/>
        <v>1.1299435028248588</v>
      </c>
      <c r="F17" s="820">
        <v>10</v>
      </c>
      <c r="G17" s="822">
        <f t="shared" si="0"/>
        <v>-0.50024493651285229</v>
      </c>
      <c r="H17" s="878">
        <v>7</v>
      </c>
      <c r="I17" s="743">
        <v>5.9</v>
      </c>
      <c r="J17" s="743">
        <v>1.1000000000000001</v>
      </c>
      <c r="K17" s="884">
        <f t="shared" si="3"/>
        <v>1.7418421427000002</v>
      </c>
      <c r="L17" s="874">
        <v>19</v>
      </c>
      <c r="M17" s="819">
        <f t="shared" si="4"/>
        <v>25</v>
      </c>
      <c r="N17" s="835">
        <f t="shared" si="1"/>
        <v>293.00340820000008</v>
      </c>
      <c r="P17" s="847"/>
      <c r="Q17" s="836"/>
      <c r="R17" s="865"/>
      <c r="S17" s="866"/>
      <c r="T17" s="850"/>
      <c r="U17" s="852"/>
      <c r="V17" s="814"/>
      <c r="W17" s="814"/>
    </row>
    <row r="18" spans="1:23">
      <c r="A18" s="895" t="s">
        <v>369</v>
      </c>
      <c r="B18" s="895" t="s">
        <v>371</v>
      </c>
      <c r="C18" s="834">
        <v>14</v>
      </c>
      <c r="D18" s="890">
        <v>9</v>
      </c>
      <c r="E18" s="828">
        <f t="shared" si="2"/>
        <v>5.0847457627118642</v>
      </c>
      <c r="F18" s="820">
        <v>5.0999999999999996</v>
      </c>
      <c r="G18" s="822">
        <f t="shared" si="0"/>
        <v>-0.40160998247065549</v>
      </c>
      <c r="H18" s="878">
        <v>8.1999999999999993</v>
      </c>
      <c r="I18" s="743">
        <v>6.7</v>
      </c>
      <c r="J18" s="743">
        <v>1.5</v>
      </c>
      <c r="K18" s="884">
        <f t="shared" si="3"/>
        <v>2.5502076075</v>
      </c>
      <c r="L18" s="874"/>
      <c r="M18" s="819">
        <f t="shared" si="4"/>
        <v>6</v>
      </c>
      <c r="N18" s="835">
        <f t="shared" si="1"/>
        <v>213.96744000000001</v>
      </c>
      <c r="P18" s="847"/>
      <c r="Q18" s="836"/>
      <c r="R18" s="865"/>
      <c r="S18" s="866"/>
      <c r="T18" s="853" t="s">
        <v>476</v>
      </c>
      <c r="U18" s="849">
        <v>5</v>
      </c>
      <c r="V18" s="814"/>
      <c r="W18" s="814"/>
    </row>
    <row r="19" spans="1:23">
      <c r="A19" s="815" t="s">
        <v>392</v>
      </c>
      <c r="B19" s="796" t="s">
        <v>396</v>
      </c>
      <c r="C19" s="834">
        <v>15</v>
      </c>
      <c r="D19" s="891">
        <v>1.3</v>
      </c>
      <c r="E19" s="828">
        <f t="shared" si="2"/>
        <v>0.7344632768361582</v>
      </c>
      <c r="F19" s="821">
        <v>10</v>
      </c>
      <c r="G19" s="822">
        <f t="shared" ref="G19:G32" si="5">(0.5091-161.58*F19)/(1+484.2*F19-16.14*POWER(F19,2))</f>
        <v>-0.50024493651285229</v>
      </c>
      <c r="H19" s="887">
        <v>7.5</v>
      </c>
      <c r="I19" s="712">
        <v>6.5</v>
      </c>
      <c r="J19" s="712">
        <v>1</v>
      </c>
      <c r="K19" s="884">
        <f t="shared" si="3"/>
        <v>1.5543314699999999</v>
      </c>
      <c r="L19" s="875">
        <v>12</v>
      </c>
      <c r="M19" s="819">
        <f t="shared" si="4"/>
        <v>18</v>
      </c>
      <c r="N19" s="835">
        <f t="shared" si="1"/>
        <v>70.512592799999993</v>
      </c>
      <c r="P19" s="854" t="s">
        <v>509</v>
      </c>
      <c r="Q19" s="855"/>
      <c r="R19" s="867"/>
      <c r="S19" s="868"/>
      <c r="T19" s="853" t="s">
        <v>476</v>
      </c>
      <c r="U19" s="849">
        <v>5</v>
      </c>
      <c r="V19" s="814"/>
      <c r="W19" s="814"/>
    </row>
    <row r="20" spans="1:23">
      <c r="A20" s="815" t="s">
        <v>391</v>
      </c>
      <c r="B20" s="815" t="s">
        <v>397</v>
      </c>
      <c r="C20" s="834">
        <v>16</v>
      </c>
      <c r="D20" s="891">
        <v>1.3</v>
      </c>
      <c r="E20" s="828">
        <f t="shared" si="2"/>
        <v>0.7344632768361582</v>
      </c>
      <c r="F20" s="821">
        <v>10</v>
      </c>
      <c r="G20" s="822">
        <f t="shared" si="5"/>
        <v>-0.50024493651285229</v>
      </c>
      <c r="H20" s="887">
        <v>7.5</v>
      </c>
      <c r="I20" s="712">
        <v>6.5</v>
      </c>
      <c r="J20" s="712">
        <v>1</v>
      </c>
      <c r="K20" s="884">
        <f t="shared" si="3"/>
        <v>1.5543314699999999</v>
      </c>
      <c r="L20" s="875">
        <v>12</v>
      </c>
      <c r="M20" s="819">
        <f t="shared" si="4"/>
        <v>18</v>
      </c>
      <c r="N20" s="835">
        <f t="shared" si="1"/>
        <v>70.512592799999993</v>
      </c>
      <c r="P20" s="854" t="s">
        <v>509</v>
      </c>
      <c r="Q20" s="855"/>
      <c r="R20" s="867"/>
      <c r="S20" s="868"/>
      <c r="T20" s="850"/>
      <c r="U20" s="851"/>
      <c r="V20" s="814"/>
      <c r="W20" s="814"/>
    </row>
    <row r="21" spans="1:23">
      <c r="A21" s="815" t="s">
        <v>481</v>
      </c>
      <c r="B21" s="815"/>
      <c r="C21" s="834">
        <v>17</v>
      </c>
      <c r="D21" s="891">
        <v>1.5</v>
      </c>
      <c r="E21" s="828">
        <f t="shared" si="2"/>
        <v>0.84745762711864403</v>
      </c>
      <c r="F21" s="821">
        <v>22</v>
      </c>
      <c r="G21" s="822">
        <f t="shared" si="5"/>
        <v>-1.2507745175321296</v>
      </c>
      <c r="H21" s="887"/>
      <c r="I21" s="712"/>
      <c r="J21" s="712"/>
      <c r="K21" s="884"/>
      <c r="L21" s="875"/>
      <c r="M21" s="819"/>
      <c r="N21" s="835"/>
      <c r="P21" s="856" t="s">
        <v>476</v>
      </c>
      <c r="Q21" s="837">
        <v>1</v>
      </c>
      <c r="R21" s="869"/>
      <c r="S21" s="870"/>
      <c r="T21" s="850"/>
      <c r="U21" s="851"/>
      <c r="V21" s="814"/>
      <c r="W21" s="814"/>
    </row>
    <row r="22" spans="1:23">
      <c r="A22" s="796" t="s">
        <v>660</v>
      </c>
      <c r="B22" s="796" t="s">
        <v>661</v>
      </c>
      <c r="C22" s="834">
        <v>18</v>
      </c>
      <c r="D22" s="890">
        <v>2.8</v>
      </c>
      <c r="E22" s="828">
        <f t="shared" si="2"/>
        <v>1.5819209039548021</v>
      </c>
      <c r="F22" s="820">
        <v>9.1999999999999993</v>
      </c>
      <c r="G22" s="822">
        <f t="shared" si="5"/>
        <v>-0.48098483844121792</v>
      </c>
      <c r="H22" s="878">
        <v>7</v>
      </c>
      <c r="I22" s="743">
        <v>6.3</v>
      </c>
      <c r="J22" s="743">
        <v>0.7</v>
      </c>
      <c r="K22" s="884">
        <f t="shared" si="3"/>
        <v>1.0267931162999999</v>
      </c>
      <c r="L22" s="874">
        <v>19</v>
      </c>
      <c r="M22" s="819">
        <f t="shared" si="4"/>
        <v>25</v>
      </c>
      <c r="N22" s="835">
        <f t="shared" si="1"/>
        <v>293.00340820000008</v>
      </c>
      <c r="P22" s="847" t="s">
        <v>476</v>
      </c>
      <c r="Q22" s="836">
        <v>1</v>
      </c>
      <c r="R22" s="865"/>
      <c r="S22" s="866"/>
      <c r="T22" s="850"/>
      <c r="U22" s="851"/>
      <c r="V22" s="814"/>
      <c r="W22" s="814"/>
    </row>
    <row r="23" spans="1:23">
      <c r="A23" s="796" t="s">
        <v>662</v>
      </c>
      <c r="B23" s="796" t="s">
        <v>663</v>
      </c>
      <c r="C23" s="834">
        <v>19</v>
      </c>
      <c r="D23" s="890">
        <v>6</v>
      </c>
      <c r="E23" s="828">
        <f t="shared" si="2"/>
        <v>3.3898305084745761</v>
      </c>
      <c r="F23" s="820">
        <v>10</v>
      </c>
      <c r="G23" s="822">
        <f t="shared" si="5"/>
        <v>-0.50024493651285229</v>
      </c>
      <c r="H23" s="878">
        <v>7.5</v>
      </c>
      <c r="I23" s="743">
        <v>6.65</v>
      </c>
      <c r="J23" s="743">
        <v>0.85</v>
      </c>
      <c r="K23" s="884">
        <f t="shared" si="3"/>
        <v>1.2840009810749999</v>
      </c>
      <c r="L23" s="874">
        <v>19</v>
      </c>
      <c r="M23" s="819">
        <f t="shared" si="4"/>
        <v>25</v>
      </c>
      <c r="N23" s="835">
        <f t="shared" si="1"/>
        <v>293.00340820000008</v>
      </c>
      <c r="P23" s="847"/>
      <c r="Q23" s="836"/>
      <c r="R23" s="865"/>
      <c r="S23" s="866"/>
      <c r="T23" s="850"/>
      <c r="U23" s="851"/>
      <c r="V23" s="814"/>
      <c r="W23" s="814"/>
    </row>
    <row r="24" spans="1:23">
      <c r="A24" s="796" t="s">
        <v>664</v>
      </c>
      <c r="B24" s="796" t="s">
        <v>665</v>
      </c>
      <c r="C24" s="834">
        <v>20</v>
      </c>
      <c r="D24" s="890">
        <v>1.8</v>
      </c>
      <c r="E24" s="828">
        <f t="shared" si="2"/>
        <v>1.0169491525423728</v>
      </c>
      <c r="F24" s="820">
        <v>9.6999999999999993</v>
      </c>
      <c r="G24" s="822">
        <f t="shared" si="5"/>
        <v>-0.49284495487661178</v>
      </c>
      <c r="H24" s="878">
        <v>7</v>
      </c>
      <c r="I24" s="743">
        <v>6.3</v>
      </c>
      <c r="J24" s="743">
        <v>0.7</v>
      </c>
      <c r="K24" s="884">
        <f t="shared" si="3"/>
        <v>1.0267931162999999</v>
      </c>
      <c r="L24" s="874">
        <v>19</v>
      </c>
      <c r="M24" s="819">
        <f t="shared" si="4"/>
        <v>25</v>
      </c>
      <c r="N24" s="835">
        <f t="shared" si="1"/>
        <v>293.00340820000008</v>
      </c>
      <c r="P24" s="847" t="s">
        <v>476</v>
      </c>
      <c r="Q24" s="836">
        <v>1</v>
      </c>
      <c r="R24" s="865"/>
      <c r="S24" s="866"/>
      <c r="T24" s="850"/>
      <c r="U24" s="851"/>
      <c r="V24" s="814"/>
      <c r="W24" s="814"/>
    </row>
    <row r="25" spans="1:23">
      <c r="A25" s="796" t="s">
        <v>666</v>
      </c>
      <c r="B25" s="796" t="s">
        <v>667</v>
      </c>
      <c r="C25" s="834">
        <v>21</v>
      </c>
      <c r="D25" s="890">
        <v>3</v>
      </c>
      <c r="E25" s="828">
        <f t="shared" si="2"/>
        <v>1.6949152542372881</v>
      </c>
      <c r="F25" s="820">
        <v>10</v>
      </c>
      <c r="G25" s="822">
        <f t="shared" si="5"/>
        <v>-0.50024493651285229</v>
      </c>
      <c r="H25" s="878">
        <v>6.75</v>
      </c>
      <c r="I25" s="743">
        <v>6.1</v>
      </c>
      <c r="J25" s="743">
        <v>0.65</v>
      </c>
      <c r="K25" s="884">
        <f t="shared" si="3"/>
        <v>0.94397330007500002</v>
      </c>
      <c r="L25" s="876">
        <v>19</v>
      </c>
      <c r="M25" s="819">
        <f t="shared" si="4"/>
        <v>25</v>
      </c>
      <c r="N25" s="835">
        <f t="shared" si="1"/>
        <v>293.00340820000008</v>
      </c>
      <c r="P25" s="847"/>
      <c r="Q25" s="836"/>
      <c r="R25" s="865"/>
      <c r="S25" s="866"/>
      <c r="T25" s="850"/>
      <c r="U25" s="851"/>
      <c r="V25" s="814"/>
      <c r="W25" s="814"/>
    </row>
    <row r="26" spans="1:23">
      <c r="A26" s="796" t="s">
        <v>479</v>
      </c>
      <c r="B26" s="796" t="s">
        <v>669</v>
      </c>
      <c r="C26" s="834">
        <v>22</v>
      </c>
      <c r="D26" s="890">
        <v>1</v>
      </c>
      <c r="E26" s="828">
        <f t="shared" si="2"/>
        <v>0.56497175141242939</v>
      </c>
      <c r="F26" s="820">
        <v>14</v>
      </c>
      <c r="G26" s="822">
        <f t="shared" si="5"/>
        <v>-0.62538323065181567</v>
      </c>
      <c r="H26" s="878">
        <v>7</v>
      </c>
      <c r="I26" s="743">
        <v>6.3</v>
      </c>
      <c r="J26" s="743">
        <v>0.7</v>
      </c>
      <c r="K26" s="884">
        <f t="shared" si="3"/>
        <v>1.0267931162999999</v>
      </c>
      <c r="L26" s="876">
        <v>19</v>
      </c>
      <c r="M26" s="819">
        <f t="shared" si="4"/>
        <v>25</v>
      </c>
      <c r="N26" s="835">
        <f t="shared" si="1"/>
        <v>293.00340820000008</v>
      </c>
      <c r="P26" s="847" t="s">
        <v>476</v>
      </c>
      <c r="Q26" s="836">
        <v>1</v>
      </c>
      <c r="R26" s="865"/>
      <c r="S26" s="866"/>
      <c r="T26" s="850"/>
      <c r="U26" s="851"/>
      <c r="V26" s="814"/>
      <c r="W26" s="814"/>
    </row>
    <row r="27" spans="1:23">
      <c r="A27" s="796" t="s">
        <v>670</v>
      </c>
      <c r="B27" s="796" t="s">
        <v>671</v>
      </c>
      <c r="C27" s="834">
        <v>23</v>
      </c>
      <c r="D27" s="890">
        <v>2.5</v>
      </c>
      <c r="E27" s="828">
        <f t="shared" si="2"/>
        <v>1.4124293785310735</v>
      </c>
      <c r="F27" s="820">
        <v>10</v>
      </c>
      <c r="G27" s="822">
        <f t="shared" si="5"/>
        <v>-0.50024493651285229</v>
      </c>
      <c r="H27" s="878">
        <v>7</v>
      </c>
      <c r="I27" s="743">
        <v>6.3</v>
      </c>
      <c r="J27" s="743">
        <v>0.7</v>
      </c>
      <c r="K27" s="884">
        <f t="shared" si="3"/>
        <v>1.0267931162999999</v>
      </c>
      <c r="L27" s="876">
        <v>19</v>
      </c>
      <c r="M27" s="819">
        <f t="shared" si="4"/>
        <v>25</v>
      </c>
      <c r="N27" s="835">
        <f t="shared" si="1"/>
        <v>293.00340820000008</v>
      </c>
      <c r="P27" s="847" t="s">
        <v>476</v>
      </c>
      <c r="Q27" s="836"/>
      <c r="R27" s="865"/>
      <c r="S27" s="866"/>
      <c r="T27" s="850"/>
      <c r="U27" s="851"/>
      <c r="V27" s="814"/>
      <c r="W27" s="814"/>
    </row>
    <row r="28" spans="1:23">
      <c r="A28" s="796" t="s">
        <v>497</v>
      </c>
      <c r="B28" s="796"/>
      <c r="C28" s="834">
        <v>24</v>
      </c>
      <c r="D28" s="890">
        <v>1.8</v>
      </c>
      <c r="E28" s="828">
        <f t="shared" si="2"/>
        <v>1.0169491525423728</v>
      </c>
      <c r="F28" s="820">
        <v>6.2</v>
      </c>
      <c r="G28" s="822">
        <f t="shared" si="5"/>
        <v>-0.42024643979917231</v>
      </c>
      <c r="H28" s="878"/>
      <c r="I28" s="743"/>
      <c r="J28" s="743"/>
      <c r="K28" s="884"/>
      <c r="L28" s="876"/>
      <c r="M28" s="819"/>
      <c r="N28" s="835"/>
      <c r="P28" s="847" t="s">
        <v>476</v>
      </c>
      <c r="Q28" s="836">
        <v>1</v>
      </c>
      <c r="R28" s="865"/>
      <c r="S28" s="866"/>
      <c r="T28" s="850"/>
      <c r="U28" s="851"/>
      <c r="V28" s="814"/>
      <c r="W28" s="814"/>
    </row>
    <row r="29" spans="1:23">
      <c r="A29" s="796" t="s">
        <v>672</v>
      </c>
      <c r="B29" s="815"/>
      <c r="C29" s="834">
        <v>25</v>
      </c>
      <c r="D29" s="890">
        <v>1.5</v>
      </c>
      <c r="E29" s="828">
        <f t="shared" si="2"/>
        <v>0.84745762711864403</v>
      </c>
      <c r="F29" s="820">
        <v>10</v>
      </c>
      <c r="G29" s="822">
        <f t="shared" si="5"/>
        <v>-0.50024493651285229</v>
      </c>
      <c r="H29" s="878">
        <v>8</v>
      </c>
      <c r="I29" s="743">
        <v>6</v>
      </c>
      <c r="J29" s="743">
        <v>2</v>
      </c>
      <c r="K29" s="884">
        <f t="shared" si="3"/>
        <v>3.6918906800000002</v>
      </c>
      <c r="L29" s="876">
        <v>19</v>
      </c>
      <c r="M29" s="819">
        <f t="shared" si="4"/>
        <v>25</v>
      </c>
      <c r="N29" s="835">
        <f t="shared" si="1"/>
        <v>293.00340820000008</v>
      </c>
      <c r="P29" s="847"/>
      <c r="Q29" s="836"/>
      <c r="R29" s="865"/>
      <c r="S29" s="866"/>
      <c r="T29" s="850"/>
      <c r="U29" s="851"/>
      <c r="V29" s="814"/>
      <c r="W29" s="814"/>
    </row>
    <row r="30" spans="1:23">
      <c r="A30" s="796" t="s">
        <v>492</v>
      </c>
      <c r="B30" s="796" t="s">
        <v>675</v>
      </c>
      <c r="C30" s="834">
        <v>26</v>
      </c>
      <c r="D30" s="890">
        <v>1.5</v>
      </c>
      <c r="E30" s="828">
        <f t="shared" si="2"/>
        <v>0.84745762711864403</v>
      </c>
      <c r="F30" s="820">
        <v>5.7</v>
      </c>
      <c r="G30" s="822">
        <f t="shared" si="5"/>
        <v>-0.41156974974954746</v>
      </c>
      <c r="H30" s="878"/>
      <c r="I30" s="743">
        <v>6.5</v>
      </c>
      <c r="J30" s="743">
        <v>1</v>
      </c>
      <c r="K30" s="884">
        <f t="shared" si="3"/>
        <v>1.5543314699999999</v>
      </c>
      <c r="L30" s="876">
        <v>19</v>
      </c>
      <c r="M30" s="819">
        <f t="shared" si="4"/>
        <v>25</v>
      </c>
      <c r="N30" s="835">
        <f t="shared" si="1"/>
        <v>293.00340820000008</v>
      </c>
      <c r="P30" s="847" t="s">
        <v>476</v>
      </c>
      <c r="Q30" s="836">
        <v>1</v>
      </c>
      <c r="R30" s="865"/>
      <c r="S30" s="866"/>
      <c r="T30" s="853" t="s">
        <v>476</v>
      </c>
      <c r="U30" s="849">
        <v>4</v>
      </c>
      <c r="V30" s="814"/>
      <c r="W30" s="814"/>
    </row>
    <row r="31" spans="1:23">
      <c r="A31" s="796" t="s">
        <v>490</v>
      </c>
      <c r="B31" s="796" t="s">
        <v>306</v>
      </c>
      <c r="C31" s="834">
        <v>27</v>
      </c>
      <c r="D31" s="890">
        <v>1.5</v>
      </c>
      <c r="E31" s="828">
        <f t="shared" si="2"/>
        <v>0.84745762711864403</v>
      </c>
      <c r="F31" s="820">
        <v>12</v>
      </c>
      <c r="G31" s="822">
        <f t="shared" si="5"/>
        <v>-0.555869656232436</v>
      </c>
      <c r="H31" s="878">
        <v>7.2</v>
      </c>
      <c r="I31" s="743">
        <v>6.5</v>
      </c>
      <c r="J31" s="743">
        <v>0.70000000000000018</v>
      </c>
      <c r="K31" s="884">
        <f t="shared" si="3"/>
        <v>1.0267931163000004</v>
      </c>
      <c r="L31" s="876">
        <v>20</v>
      </c>
      <c r="M31" s="819">
        <f t="shared" si="4"/>
        <v>26</v>
      </c>
      <c r="N31" s="835">
        <f t="shared" si="1"/>
        <v>343.20422000000008</v>
      </c>
      <c r="P31" s="847" t="s">
        <v>476</v>
      </c>
      <c r="Q31" s="836">
        <v>1</v>
      </c>
      <c r="R31" s="865"/>
      <c r="S31" s="866"/>
      <c r="T31" s="850"/>
      <c r="U31" s="851"/>
      <c r="V31" s="814"/>
      <c r="W31" s="814"/>
    </row>
    <row r="32" spans="1:23">
      <c r="A32" s="816" t="s">
        <v>491</v>
      </c>
      <c r="B32" s="816" t="s">
        <v>368</v>
      </c>
      <c r="C32" s="834">
        <v>28</v>
      </c>
      <c r="D32" s="890">
        <v>2.2999999999999998</v>
      </c>
      <c r="E32" s="828">
        <f t="shared" si="2"/>
        <v>1.2994350282485874</v>
      </c>
      <c r="F32" s="820">
        <v>19</v>
      </c>
      <c r="G32" s="822">
        <f t="shared" si="5"/>
        <v>-0.9096841677879004</v>
      </c>
      <c r="H32" s="878">
        <v>7</v>
      </c>
      <c r="I32" s="743">
        <v>6.25</v>
      </c>
      <c r="J32" s="743">
        <v>0.75</v>
      </c>
      <c r="K32" s="884">
        <f t="shared" si="3"/>
        <v>1.1110710018750001</v>
      </c>
      <c r="L32" s="876">
        <v>22</v>
      </c>
      <c r="M32" s="819">
        <f t="shared" si="4"/>
        <v>28</v>
      </c>
      <c r="N32" s="835">
        <f t="shared" si="1"/>
        <v>457.41815080000003</v>
      </c>
      <c r="P32" s="847"/>
      <c r="Q32" s="836"/>
      <c r="R32" s="865"/>
      <c r="S32" s="866"/>
      <c r="T32" s="850"/>
      <c r="U32" s="851"/>
      <c r="V32" s="814"/>
      <c r="W32" s="814"/>
    </row>
    <row r="33" spans="1:23">
      <c r="A33" s="796" t="s">
        <v>677</v>
      </c>
      <c r="B33" s="796" t="s">
        <v>678</v>
      </c>
      <c r="C33" s="834">
        <v>29</v>
      </c>
      <c r="D33" s="890">
        <v>2</v>
      </c>
      <c r="E33" s="828">
        <f t="shared" si="2"/>
        <v>1.1299435028248588</v>
      </c>
      <c r="F33" s="820">
        <v>10</v>
      </c>
      <c r="G33" s="822">
        <f t="shared" ref="G33:G58" si="6">(0.5091-161.58*F33)/(1+484.2*F33-16.14*POWER(F33,2))</f>
        <v>-0.50024493651285229</v>
      </c>
      <c r="H33" s="878">
        <v>8</v>
      </c>
      <c r="I33" s="743">
        <v>6.15</v>
      </c>
      <c r="J33" s="743">
        <v>1.85</v>
      </c>
      <c r="K33" s="884">
        <f t="shared" si="3"/>
        <v>3.3340760300750003</v>
      </c>
      <c r="L33" s="876">
        <v>19</v>
      </c>
      <c r="M33" s="819">
        <f t="shared" si="4"/>
        <v>25</v>
      </c>
      <c r="N33" s="835">
        <f t="shared" si="1"/>
        <v>293.00340820000008</v>
      </c>
      <c r="P33" s="857"/>
      <c r="Q33" s="858"/>
      <c r="R33" s="871"/>
      <c r="S33" s="872"/>
      <c r="T33" s="850"/>
      <c r="U33" s="851"/>
      <c r="V33" s="814"/>
      <c r="W33" s="814"/>
    </row>
    <row r="34" spans="1:23">
      <c r="A34" s="796" t="s">
        <v>498</v>
      </c>
      <c r="B34" s="796" t="s">
        <v>683</v>
      </c>
      <c r="C34" s="834">
        <v>30</v>
      </c>
      <c r="D34" s="890">
        <v>1.7</v>
      </c>
      <c r="E34" s="828">
        <f t="shared" si="2"/>
        <v>0.96045197740112986</v>
      </c>
      <c r="F34" s="820">
        <v>12</v>
      </c>
      <c r="G34" s="822">
        <f t="shared" si="6"/>
        <v>-0.555869656232436</v>
      </c>
      <c r="H34" s="878">
        <v>8.3000000000000007</v>
      </c>
      <c r="I34" s="743">
        <v>6.3</v>
      </c>
      <c r="J34" s="743">
        <v>2</v>
      </c>
      <c r="K34" s="884">
        <f t="shared" si="3"/>
        <v>3.6918906800000002</v>
      </c>
      <c r="L34" s="877">
        <v>16</v>
      </c>
      <c r="M34" s="819">
        <f t="shared" si="4"/>
        <v>22</v>
      </c>
      <c r="N34" s="835">
        <f t="shared" si="1"/>
        <v>170.02558720000002</v>
      </c>
      <c r="P34" s="847"/>
      <c r="Q34" s="836"/>
      <c r="R34" s="865"/>
      <c r="S34" s="866"/>
      <c r="T34" s="850"/>
      <c r="U34" s="851"/>
      <c r="V34" s="814"/>
      <c r="W34" s="814"/>
    </row>
    <row r="35" spans="1:23">
      <c r="A35" s="796" t="s">
        <v>499</v>
      </c>
      <c r="B35" s="796" t="s">
        <v>683</v>
      </c>
      <c r="C35" s="834">
        <v>31</v>
      </c>
      <c r="D35" s="890">
        <v>1.7</v>
      </c>
      <c r="E35" s="828">
        <f t="shared" si="2"/>
        <v>0.96045197740112986</v>
      </c>
      <c r="F35" s="820">
        <v>12</v>
      </c>
      <c r="G35" s="822">
        <f t="shared" si="6"/>
        <v>-0.555869656232436</v>
      </c>
      <c r="H35" s="878"/>
      <c r="I35" s="743"/>
      <c r="J35" s="743"/>
      <c r="K35" s="884">
        <f t="shared" si="3"/>
        <v>0</v>
      </c>
      <c r="L35" s="877"/>
      <c r="M35" s="819"/>
      <c r="N35" s="835"/>
      <c r="P35" s="847"/>
      <c r="Q35" s="836"/>
      <c r="R35" s="865"/>
      <c r="S35" s="866"/>
      <c r="T35" s="850"/>
      <c r="U35" s="851"/>
      <c r="V35" s="814"/>
      <c r="W35" s="814"/>
    </row>
    <row r="36" spans="1:23">
      <c r="A36" s="796" t="s">
        <v>517</v>
      </c>
      <c r="B36" s="796" t="s">
        <v>683</v>
      </c>
      <c r="C36" s="834">
        <v>32</v>
      </c>
      <c r="D36" s="890">
        <v>1.8</v>
      </c>
      <c r="E36" s="828">
        <f t="shared" si="2"/>
        <v>1.0169491525423728</v>
      </c>
      <c r="F36" s="820">
        <v>7.4</v>
      </c>
      <c r="G36" s="822">
        <f t="shared" si="6"/>
        <v>-0.44261875995647232</v>
      </c>
      <c r="H36" s="879"/>
      <c r="I36" s="743">
        <v>6.3</v>
      </c>
      <c r="J36" s="743">
        <v>2</v>
      </c>
      <c r="K36" s="884">
        <f t="shared" si="3"/>
        <v>3.6918906800000002</v>
      </c>
      <c r="L36" s="876">
        <v>19</v>
      </c>
      <c r="M36" s="819">
        <f t="shared" si="4"/>
        <v>25</v>
      </c>
      <c r="N36" s="835">
        <f t="shared" si="1"/>
        <v>293.00340820000008</v>
      </c>
      <c r="P36" s="847" t="s">
        <v>476</v>
      </c>
      <c r="Q36" s="836">
        <v>1</v>
      </c>
      <c r="R36" s="865"/>
      <c r="S36" s="866"/>
      <c r="T36" s="850"/>
      <c r="U36" s="851"/>
      <c r="V36" s="814"/>
      <c r="W36" s="814"/>
    </row>
    <row r="37" spans="1:23">
      <c r="A37" s="796" t="s">
        <v>960</v>
      </c>
      <c r="B37" s="796" t="s">
        <v>684</v>
      </c>
      <c r="C37" s="834">
        <v>33</v>
      </c>
      <c r="D37" s="890">
        <v>7.7</v>
      </c>
      <c r="E37" s="828">
        <f t="shared" si="2"/>
        <v>4.3502824858757059</v>
      </c>
      <c r="F37" s="820">
        <v>5.2</v>
      </c>
      <c r="G37" s="822">
        <f t="shared" si="6"/>
        <v>-0.4032371750790813</v>
      </c>
      <c r="H37" s="878">
        <v>8.4</v>
      </c>
      <c r="I37" s="743">
        <v>6.35</v>
      </c>
      <c r="J37" s="743">
        <v>2.0499999999999998</v>
      </c>
      <c r="K37" s="884">
        <f t="shared" si="3"/>
        <v>3.8140783686749993</v>
      </c>
      <c r="L37" s="876">
        <v>19</v>
      </c>
      <c r="M37" s="819">
        <f t="shared" si="4"/>
        <v>25</v>
      </c>
      <c r="N37" s="835">
        <f t="shared" si="1"/>
        <v>293.00340820000008</v>
      </c>
      <c r="P37" s="847" t="s">
        <v>476</v>
      </c>
      <c r="Q37" s="836">
        <v>1</v>
      </c>
      <c r="R37" s="865"/>
      <c r="S37" s="866"/>
      <c r="T37" s="850"/>
      <c r="U37" s="851"/>
      <c r="V37" s="814"/>
      <c r="W37" s="814"/>
    </row>
    <row r="38" spans="1:23">
      <c r="A38" s="796" t="s">
        <v>687</v>
      </c>
      <c r="B38" s="796" t="s">
        <v>688</v>
      </c>
      <c r="C38" s="834">
        <v>34</v>
      </c>
      <c r="D38" s="890">
        <v>4.9000000000000004</v>
      </c>
      <c r="E38" s="828">
        <f t="shared" si="2"/>
        <v>2.768361581920904</v>
      </c>
      <c r="F38" s="820">
        <v>12</v>
      </c>
      <c r="G38" s="822">
        <f t="shared" si="6"/>
        <v>-0.555869656232436</v>
      </c>
      <c r="H38" s="878"/>
      <c r="I38" s="743">
        <v>5.5</v>
      </c>
      <c r="J38" s="743">
        <v>1</v>
      </c>
      <c r="K38" s="884">
        <f t="shared" si="3"/>
        <v>1.5543314699999999</v>
      </c>
      <c r="L38" s="876">
        <v>19</v>
      </c>
      <c r="M38" s="819">
        <f t="shared" si="4"/>
        <v>25</v>
      </c>
      <c r="N38" s="835">
        <f t="shared" si="1"/>
        <v>293.00340820000008</v>
      </c>
      <c r="P38" s="847" t="s">
        <v>476</v>
      </c>
      <c r="Q38" s="836">
        <v>1</v>
      </c>
      <c r="R38" s="865"/>
      <c r="S38" s="866"/>
      <c r="T38" s="850"/>
      <c r="U38" s="851"/>
      <c r="V38" s="814"/>
      <c r="W38" s="814"/>
    </row>
    <row r="39" spans="1:23">
      <c r="A39" s="796" t="s">
        <v>679</v>
      </c>
      <c r="B39" s="796" t="s">
        <v>680</v>
      </c>
      <c r="C39" s="834">
        <v>35</v>
      </c>
      <c r="D39" s="890">
        <v>2</v>
      </c>
      <c r="E39" s="828">
        <f t="shared" si="2"/>
        <v>1.1299435028248588</v>
      </c>
      <c r="F39" s="820">
        <v>10</v>
      </c>
      <c r="G39" s="822">
        <f t="shared" si="6"/>
        <v>-0.50024493651285229</v>
      </c>
      <c r="H39" s="878">
        <v>7.5</v>
      </c>
      <c r="I39" s="743">
        <v>6</v>
      </c>
      <c r="J39" s="743">
        <v>1.5</v>
      </c>
      <c r="K39" s="884">
        <f t="shared" si="3"/>
        <v>2.5502076075</v>
      </c>
      <c r="L39" s="876">
        <v>19</v>
      </c>
      <c r="M39" s="819">
        <f t="shared" si="4"/>
        <v>25</v>
      </c>
      <c r="N39" s="835">
        <f t="shared" si="1"/>
        <v>293.00340820000008</v>
      </c>
      <c r="P39" s="847"/>
      <c r="Q39" s="836"/>
      <c r="R39" s="865"/>
      <c r="S39" s="866"/>
      <c r="T39" s="850"/>
      <c r="U39" s="851"/>
      <c r="V39" s="814"/>
      <c r="W39" s="814"/>
    </row>
    <row r="40" spans="1:23">
      <c r="A40" s="796" t="s">
        <v>685</v>
      </c>
      <c r="B40" s="796" t="s">
        <v>686</v>
      </c>
      <c r="C40" s="834">
        <v>36</v>
      </c>
      <c r="D40" s="890">
        <v>2.5</v>
      </c>
      <c r="E40" s="828">
        <f t="shared" si="2"/>
        <v>1.4124293785310735</v>
      </c>
      <c r="F40" s="820">
        <v>13</v>
      </c>
      <c r="G40" s="822">
        <f t="shared" si="6"/>
        <v>-0.58858358044137515</v>
      </c>
      <c r="H40" s="878"/>
      <c r="I40" s="743">
        <v>6.5</v>
      </c>
      <c r="J40" s="743">
        <v>1</v>
      </c>
      <c r="K40" s="884">
        <f t="shared" si="3"/>
        <v>1.5543314699999999</v>
      </c>
      <c r="L40" s="876">
        <v>19</v>
      </c>
      <c r="M40" s="819">
        <f t="shared" si="4"/>
        <v>25</v>
      </c>
      <c r="N40" s="835">
        <f t="shared" si="1"/>
        <v>293.00340820000008</v>
      </c>
      <c r="P40" s="847" t="s">
        <v>476</v>
      </c>
      <c r="Q40" s="836">
        <v>1</v>
      </c>
      <c r="R40" s="865"/>
      <c r="S40" s="866"/>
      <c r="T40" s="850"/>
      <c r="U40" s="851"/>
      <c r="V40" s="814"/>
      <c r="W40" s="814"/>
    </row>
    <row r="41" spans="1:23">
      <c r="A41" s="796" t="s">
        <v>496</v>
      </c>
      <c r="B41" s="796" t="s">
        <v>690</v>
      </c>
      <c r="C41" s="834">
        <v>37</v>
      </c>
      <c r="D41" s="890">
        <v>4</v>
      </c>
      <c r="E41" s="828">
        <f t="shared" si="2"/>
        <v>2.2598870056497176</v>
      </c>
      <c r="F41" s="820">
        <v>3.6</v>
      </c>
      <c r="G41" s="822">
        <f t="shared" si="6"/>
        <v>-0.37863159450080847</v>
      </c>
      <c r="H41" s="879"/>
      <c r="I41" s="743">
        <v>6</v>
      </c>
      <c r="J41" s="743">
        <v>2</v>
      </c>
      <c r="K41" s="884">
        <f t="shared" si="3"/>
        <v>3.6918906800000002</v>
      </c>
      <c r="L41" s="878">
        <v>19</v>
      </c>
      <c r="M41" s="819">
        <f t="shared" si="4"/>
        <v>25</v>
      </c>
      <c r="N41" s="835">
        <f t="shared" ref="N41:N56" si="7">213.96744-39.579185*L41+2.3020512*L41*L41</f>
        <v>293.00340820000008</v>
      </c>
      <c r="P41" s="847" t="s">
        <v>476</v>
      </c>
      <c r="Q41" s="836">
        <v>1</v>
      </c>
      <c r="R41" s="865"/>
      <c r="S41" s="866"/>
      <c r="T41" s="850"/>
      <c r="U41" s="851"/>
      <c r="V41" s="814"/>
      <c r="W41" s="814"/>
    </row>
    <row r="42" spans="1:23">
      <c r="A42" s="796" t="s">
        <v>494</v>
      </c>
      <c r="B42" s="794" t="s">
        <v>495</v>
      </c>
      <c r="C42" s="834">
        <v>38</v>
      </c>
      <c r="D42" s="890">
        <v>1.6</v>
      </c>
      <c r="E42" s="828">
        <f t="shared" si="2"/>
        <v>0.903954802259887</v>
      </c>
      <c r="F42" s="820">
        <v>9.6</v>
      </c>
      <c r="G42" s="822">
        <f t="shared" si="6"/>
        <v>-0.49042654545859377</v>
      </c>
      <c r="H42" s="879"/>
      <c r="I42" s="743"/>
      <c r="J42" s="743"/>
      <c r="K42" s="884"/>
      <c r="L42" s="878"/>
      <c r="M42" s="819"/>
      <c r="N42" s="835"/>
      <c r="P42" s="847" t="s">
        <v>476</v>
      </c>
      <c r="Q42" s="836">
        <v>1</v>
      </c>
      <c r="R42" s="865"/>
      <c r="S42" s="866"/>
      <c r="T42" s="850"/>
      <c r="U42" s="851"/>
      <c r="V42" s="814"/>
      <c r="W42" s="814"/>
    </row>
    <row r="43" spans="1:23">
      <c r="A43" s="796" t="s">
        <v>344</v>
      </c>
      <c r="B43" s="796" t="s">
        <v>692</v>
      </c>
      <c r="C43" s="834">
        <v>39</v>
      </c>
      <c r="D43" s="890">
        <v>3.9</v>
      </c>
      <c r="E43" s="828">
        <f t="shared" si="2"/>
        <v>2.2033898305084745</v>
      </c>
      <c r="F43" s="820">
        <v>5.3</v>
      </c>
      <c r="G43" s="822">
        <f t="shared" si="6"/>
        <v>-0.40487724180578405</v>
      </c>
      <c r="H43" s="878"/>
      <c r="I43" s="743">
        <v>6.65</v>
      </c>
      <c r="J43" s="743">
        <v>1.85</v>
      </c>
      <c r="K43" s="884">
        <f t="shared" si="3"/>
        <v>3.3340760300750003</v>
      </c>
      <c r="L43" s="878">
        <v>12</v>
      </c>
      <c r="M43" s="819">
        <f t="shared" si="4"/>
        <v>18</v>
      </c>
      <c r="N43" s="835">
        <f t="shared" si="7"/>
        <v>70.512592799999993</v>
      </c>
      <c r="P43" s="847" t="s">
        <v>476</v>
      </c>
      <c r="Q43" s="836">
        <v>1</v>
      </c>
      <c r="R43" s="865"/>
      <c r="S43" s="866"/>
      <c r="T43" s="850"/>
      <c r="U43" s="851"/>
      <c r="V43" s="814"/>
      <c r="W43" s="814"/>
    </row>
    <row r="44" spans="1:23">
      <c r="A44" s="796" t="s">
        <v>695</v>
      </c>
      <c r="B44" s="796" t="s">
        <v>696</v>
      </c>
      <c r="C44" s="834">
        <v>40</v>
      </c>
      <c r="D44" s="890">
        <v>1.7</v>
      </c>
      <c r="E44" s="828">
        <f t="shared" si="2"/>
        <v>0.96045197740112986</v>
      </c>
      <c r="F44" s="820">
        <v>12</v>
      </c>
      <c r="G44" s="822">
        <f t="shared" si="6"/>
        <v>-0.555869656232436</v>
      </c>
      <c r="H44" s="877">
        <v>8.3000000000000007</v>
      </c>
      <c r="I44" s="813">
        <v>6.55</v>
      </c>
      <c r="J44" s="813">
        <v>1.75</v>
      </c>
      <c r="K44" s="884">
        <f t="shared" si="3"/>
        <v>3.1028232768750001</v>
      </c>
      <c r="L44" s="878">
        <v>19</v>
      </c>
      <c r="M44" s="819">
        <f t="shared" si="4"/>
        <v>25</v>
      </c>
      <c r="N44" s="835">
        <f t="shared" si="7"/>
        <v>293.00340820000008</v>
      </c>
      <c r="P44" s="847" t="s">
        <v>476</v>
      </c>
      <c r="Q44" s="836">
        <v>1</v>
      </c>
      <c r="R44" s="865"/>
      <c r="S44" s="866"/>
      <c r="T44" s="850"/>
      <c r="U44" s="851"/>
      <c r="V44" s="814"/>
      <c r="W44" s="814"/>
    </row>
    <row r="45" spans="1:23">
      <c r="A45" s="796" t="s">
        <v>493</v>
      </c>
      <c r="B45" s="796"/>
      <c r="C45" s="834">
        <v>41</v>
      </c>
      <c r="D45" s="890">
        <v>1.5</v>
      </c>
      <c r="E45" s="828">
        <f t="shared" si="2"/>
        <v>0.84745762711864403</v>
      </c>
      <c r="F45" s="820">
        <v>9.6</v>
      </c>
      <c r="G45" s="822">
        <f t="shared" si="6"/>
        <v>-0.49042654545859377</v>
      </c>
      <c r="H45" s="877"/>
      <c r="I45" s="813"/>
      <c r="J45" s="813"/>
      <c r="K45" s="884"/>
      <c r="L45" s="878"/>
      <c r="M45" s="819"/>
      <c r="N45" s="835"/>
      <c r="P45" s="847" t="s">
        <v>476</v>
      </c>
      <c r="Q45" s="836">
        <v>1</v>
      </c>
      <c r="R45" s="865"/>
      <c r="S45" s="866"/>
      <c r="T45" s="850"/>
      <c r="U45" s="851"/>
      <c r="V45" s="814"/>
      <c r="W45" s="814"/>
    </row>
    <row r="46" spans="1:23">
      <c r="A46" s="796" t="s">
        <v>968</v>
      </c>
      <c r="B46" s="796" t="s">
        <v>699</v>
      </c>
      <c r="C46" s="834">
        <v>42</v>
      </c>
      <c r="D46" s="890">
        <v>2</v>
      </c>
      <c r="E46" s="828">
        <f t="shared" si="2"/>
        <v>1.1299435028248588</v>
      </c>
      <c r="F46" s="820">
        <v>10</v>
      </c>
      <c r="G46" s="822">
        <f t="shared" si="6"/>
        <v>-0.50024493651285229</v>
      </c>
      <c r="H46" s="877">
        <v>8.3000000000000007</v>
      </c>
      <c r="I46" s="817">
        <v>6.4</v>
      </c>
      <c r="J46" s="817">
        <v>1.9</v>
      </c>
      <c r="K46" s="884">
        <f t="shared" si="3"/>
        <v>3.4518895106999996</v>
      </c>
      <c r="L46" s="878">
        <v>19</v>
      </c>
      <c r="M46" s="819">
        <f t="shared" si="4"/>
        <v>25</v>
      </c>
      <c r="N46" s="835">
        <f t="shared" si="7"/>
        <v>293.00340820000008</v>
      </c>
      <c r="P46" s="847"/>
      <c r="Q46" s="836"/>
      <c r="R46" s="865"/>
      <c r="S46" s="866"/>
      <c r="T46" s="850"/>
      <c r="U46" s="851"/>
      <c r="V46" s="814"/>
      <c r="W46" s="814"/>
    </row>
    <row r="47" spans="1:23">
      <c r="A47" s="796" t="s">
        <v>485</v>
      </c>
      <c r="B47" s="815"/>
      <c r="C47" s="834">
        <v>43</v>
      </c>
      <c r="D47" s="890">
        <v>1.5</v>
      </c>
      <c r="E47" s="828">
        <f t="shared" si="2"/>
        <v>0.84745762711864403</v>
      </c>
      <c r="F47" s="820">
        <v>9.6</v>
      </c>
      <c r="G47" s="822">
        <f t="shared" si="6"/>
        <v>-0.49042654545859377</v>
      </c>
      <c r="H47" s="877">
        <v>8.6999999999999993</v>
      </c>
      <c r="I47" s="813">
        <v>6.5</v>
      </c>
      <c r="J47" s="813">
        <v>2.2000000000000002</v>
      </c>
      <c r="K47" s="888">
        <f>(1.2627176*J46)+(0.29161387*J46*J46)</f>
        <v>3.4518895106999996</v>
      </c>
      <c r="L47" s="878">
        <v>19</v>
      </c>
      <c r="M47" s="819">
        <f t="shared" si="4"/>
        <v>25</v>
      </c>
      <c r="N47" s="835">
        <f t="shared" si="7"/>
        <v>293.00340820000008</v>
      </c>
      <c r="P47" s="847" t="s">
        <v>476</v>
      </c>
      <c r="Q47" s="836">
        <v>1</v>
      </c>
      <c r="R47" s="865"/>
      <c r="S47" s="866"/>
      <c r="T47" s="850"/>
      <c r="U47" s="851"/>
      <c r="V47" s="814"/>
      <c r="W47" s="814"/>
    </row>
    <row r="48" spans="1:23">
      <c r="A48" s="796" t="s">
        <v>486</v>
      </c>
      <c r="B48" s="815"/>
      <c r="C48" s="834">
        <v>44</v>
      </c>
      <c r="D48" s="890">
        <v>1.8</v>
      </c>
      <c r="E48" s="828">
        <f t="shared" si="2"/>
        <v>1.0169491525423728</v>
      </c>
      <c r="F48" s="820">
        <v>16</v>
      </c>
      <c r="G48" s="822">
        <f t="shared" si="6"/>
        <v>-0.71474380316118979</v>
      </c>
      <c r="H48" s="877"/>
      <c r="I48" s="813"/>
      <c r="J48" s="813"/>
      <c r="K48" s="888"/>
      <c r="L48" s="878"/>
      <c r="M48" s="819"/>
      <c r="N48" s="835"/>
      <c r="P48" s="847" t="s">
        <v>476</v>
      </c>
      <c r="Q48" s="836">
        <v>1</v>
      </c>
      <c r="R48" s="865"/>
      <c r="S48" s="866"/>
      <c r="T48" s="850"/>
      <c r="U48" s="851"/>
      <c r="V48" s="814"/>
      <c r="W48" s="814"/>
    </row>
    <row r="49" spans="1:23">
      <c r="A49" s="796" t="s">
        <v>702</v>
      </c>
      <c r="B49" s="796" t="s">
        <v>703</v>
      </c>
      <c r="C49" s="834">
        <v>45</v>
      </c>
      <c r="D49" s="890">
        <v>4</v>
      </c>
      <c r="E49" s="828">
        <f t="shared" si="2"/>
        <v>2.2598870056497176</v>
      </c>
      <c r="F49" s="820">
        <v>10</v>
      </c>
      <c r="G49" s="822">
        <f t="shared" si="6"/>
        <v>-0.50024493651285229</v>
      </c>
      <c r="H49" s="877">
        <v>8.6999999999999993</v>
      </c>
      <c r="I49" s="813">
        <v>6.5</v>
      </c>
      <c r="J49" s="813">
        <v>2.2000000000000002</v>
      </c>
      <c r="K49" s="888">
        <f>(1.2627176*J47)+(0.29161387*J47*J47)</f>
        <v>4.1893898508000005</v>
      </c>
      <c r="L49" s="878">
        <v>19</v>
      </c>
      <c r="M49" s="819">
        <f t="shared" si="4"/>
        <v>25</v>
      </c>
      <c r="N49" s="835">
        <f t="shared" si="7"/>
        <v>293.00340820000008</v>
      </c>
      <c r="P49" s="847"/>
      <c r="Q49" s="836"/>
      <c r="R49" s="865"/>
      <c r="S49" s="866"/>
      <c r="T49" s="850"/>
      <c r="U49" s="851"/>
      <c r="V49" s="814"/>
      <c r="W49" s="814"/>
    </row>
    <row r="50" spans="1:23">
      <c r="A50" s="796" t="s">
        <v>705</v>
      </c>
      <c r="B50" s="796" t="s">
        <v>706</v>
      </c>
      <c r="C50" s="834">
        <v>46</v>
      </c>
      <c r="D50" s="890">
        <v>4</v>
      </c>
      <c r="E50" s="828">
        <f t="shared" si="2"/>
        <v>2.2598870056497176</v>
      </c>
      <c r="F50" s="820">
        <v>10</v>
      </c>
      <c r="G50" s="822">
        <f t="shared" si="6"/>
        <v>-0.50024493651285229</v>
      </c>
      <c r="H50" s="887">
        <v>8.3000000000000007</v>
      </c>
      <c r="I50" s="817">
        <v>6.4</v>
      </c>
      <c r="J50" s="817">
        <v>1.9</v>
      </c>
      <c r="K50" s="888">
        <f t="shared" ref="K50:K57" si="8">(1.2627176*J49)+(0.29161387*J49*J49)</f>
        <v>4.1893898508000005</v>
      </c>
      <c r="L50" s="878">
        <v>19</v>
      </c>
      <c r="M50" s="819">
        <f t="shared" si="4"/>
        <v>25</v>
      </c>
      <c r="N50" s="835">
        <f t="shared" si="7"/>
        <v>293.00340820000008</v>
      </c>
      <c r="P50" s="847"/>
      <c r="Q50" s="836"/>
      <c r="R50" s="865"/>
      <c r="S50" s="866"/>
      <c r="T50" s="850"/>
      <c r="U50" s="851"/>
      <c r="V50" s="814"/>
      <c r="W50" s="814"/>
    </row>
    <row r="51" spans="1:23">
      <c r="A51" s="815" t="s">
        <v>393</v>
      </c>
      <c r="B51" s="815" t="s">
        <v>395</v>
      </c>
      <c r="C51" s="834">
        <v>47</v>
      </c>
      <c r="D51" s="891">
        <v>1.3</v>
      </c>
      <c r="E51" s="828">
        <f t="shared" si="2"/>
        <v>0.7344632768361582</v>
      </c>
      <c r="F51" s="821">
        <v>10</v>
      </c>
      <c r="G51" s="822">
        <f t="shared" si="6"/>
        <v>-0.50024493651285229</v>
      </c>
      <c r="H51" s="877">
        <v>7.5</v>
      </c>
      <c r="I51" s="813">
        <v>6.5</v>
      </c>
      <c r="J51" s="813">
        <v>1</v>
      </c>
      <c r="K51" s="888">
        <f t="shared" si="8"/>
        <v>3.4518895106999996</v>
      </c>
      <c r="L51" s="879">
        <v>12</v>
      </c>
      <c r="M51" s="819">
        <f t="shared" si="4"/>
        <v>18</v>
      </c>
      <c r="N51" s="835">
        <f t="shared" si="7"/>
        <v>70.512592799999993</v>
      </c>
      <c r="P51" s="854" t="s">
        <v>509</v>
      </c>
      <c r="Q51" s="859"/>
      <c r="R51" s="867"/>
      <c r="S51" s="868"/>
      <c r="T51" s="850"/>
      <c r="U51" s="851"/>
      <c r="V51" s="814"/>
      <c r="W51" s="814"/>
    </row>
    <row r="52" spans="1:23">
      <c r="A52" s="796" t="s">
        <v>707</v>
      </c>
      <c r="B52" s="796" t="s">
        <v>708</v>
      </c>
      <c r="C52" s="834">
        <v>48</v>
      </c>
      <c r="D52" s="890">
        <v>4</v>
      </c>
      <c r="E52" s="828">
        <f t="shared" si="2"/>
        <v>2.2598870056497176</v>
      </c>
      <c r="F52" s="820">
        <v>10</v>
      </c>
      <c r="G52" s="822">
        <f t="shared" si="6"/>
        <v>-0.50024493651285229</v>
      </c>
      <c r="H52" s="877">
        <v>8.3000000000000007</v>
      </c>
      <c r="I52" s="813">
        <v>6.3</v>
      </c>
      <c r="J52" s="813">
        <v>2</v>
      </c>
      <c r="K52" s="888">
        <f t="shared" si="8"/>
        <v>1.5543314699999999</v>
      </c>
      <c r="L52" s="878">
        <v>19</v>
      </c>
      <c r="M52" s="819">
        <f t="shared" si="4"/>
        <v>25</v>
      </c>
      <c r="N52" s="835">
        <f t="shared" si="7"/>
        <v>293.00340820000008</v>
      </c>
      <c r="P52" s="847"/>
      <c r="Q52" s="836"/>
      <c r="R52" s="865"/>
      <c r="S52" s="866"/>
      <c r="T52" s="850"/>
      <c r="U52" s="851"/>
      <c r="V52" s="814"/>
      <c r="W52" s="814"/>
    </row>
    <row r="53" spans="1:23">
      <c r="A53" s="796" t="s">
        <v>712</v>
      </c>
      <c r="B53" s="796" t="s">
        <v>713</v>
      </c>
      <c r="C53" s="834">
        <v>49</v>
      </c>
      <c r="D53" s="890">
        <v>1</v>
      </c>
      <c r="E53" s="828">
        <f t="shared" si="2"/>
        <v>0.56497175141242939</v>
      </c>
      <c r="F53" s="820">
        <v>10</v>
      </c>
      <c r="G53" s="822">
        <f t="shared" si="6"/>
        <v>-0.50024493651285229</v>
      </c>
      <c r="H53" s="877">
        <v>8.3000000000000007</v>
      </c>
      <c r="I53" s="813">
        <v>6.4</v>
      </c>
      <c r="J53" s="813">
        <v>1.9</v>
      </c>
      <c r="K53" s="888">
        <f t="shared" si="8"/>
        <v>3.6918906800000002</v>
      </c>
      <c r="L53" s="878">
        <v>19</v>
      </c>
      <c r="M53" s="819">
        <f t="shared" si="4"/>
        <v>25</v>
      </c>
      <c r="N53" s="835">
        <f t="shared" si="7"/>
        <v>293.00340820000008</v>
      </c>
      <c r="P53" s="847"/>
      <c r="Q53" s="836"/>
      <c r="R53" s="865"/>
      <c r="S53" s="866"/>
      <c r="T53" s="850"/>
      <c r="U53" s="851"/>
      <c r="V53" s="814"/>
      <c r="W53" s="814"/>
    </row>
    <row r="54" spans="1:23">
      <c r="A54" s="796" t="s">
        <v>710</v>
      </c>
      <c r="B54" s="796" t="s">
        <v>711</v>
      </c>
      <c r="C54" s="834">
        <v>50</v>
      </c>
      <c r="D54" s="890">
        <v>1.3</v>
      </c>
      <c r="E54" s="828">
        <f t="shared" si="2"/>
        <v>0.7344632768361582</v>
      </c>
      <c r="F54" s="820">
        <v>13</v>
      </c>
      <c r="G54" s="822">
        <f t="shared" si="6"/>
        <v>-0.58858358044137515</v>
      </c>
      <c r="H54" s="877">
        <v>8.6999999999999993</v>
      </c>
      <c r="I54" s="817">
        <v>6.45</v>
      </c>
      <c r="J54" s="817">
        <v>2.25</v>
      </c>
      <c r="K54" s="888">
        <f t="shared" si="8"/>
        <v>3.4518895106999996</v>
      </c>
      <c r="L54" s="878">
        <v>19</v>
      </c>
      <c r="M54" s="819">
        <f t="shared" si="4"/>
        <v>25</v>
      </c>
      <c r="N54" s="835">
        <f t="shared" si="7"/>
        <v>293.00340820000008</v>
      </c>
      <c r="P54" s="847" t="s">
        <v>476</v>
      </c>
      <c r="Q54" s="836">
        <v>1</v>
      </c>
      <c r="R54" s="865"/>
      <c r="S54" s="866"/>
      <c r="T54" s="853" t="s">
        <v>476</v>
      </c>
      <c r="U54" s="849">
        <v>5</v>
      </c>
      <c r="V54" s="814"/>
      <c r="W54" s="814"/>
    </row>
    <row r="55" spans="1:23">
      <c r="A55" s="796" t="s">
        <v>714</v>
      </c>
      <c r="B55" s="815"/>
      <c r="C55" s="834">
        <v>51</v>
      </c>
      <c r="D55" s="890">
        <v>4</v>
      </c>
      <c r="E55" s="828">
        <f t="shared" si="2"/>
        <v>2.2598870056497176</v>
      </c>
      <c r="F55" s="820">
        <v>10</v>
      </c>
      <c r="G55" s="822">
        <f t="shared" si="6"/>
        <v>-0.50024493651285229</v>
      </c>
      <c r="H55" s="877"/>
      <c r="I55" s="817">
        <v>6.5</v>
      </c>
      <c r="J55" s="817">
        <v>2</v>
      </c>
      <c r="K55" s="888">
        <f t="shared" si="8"/>
        <v>4.3174098168750001</v>
      </c>
      <c r="L55" s="878">
        <v>19</v>
      </c>
      <c r="M55" s="819">
        <f t="shared" si="4"/>
        <v>25</v>
      </c>
      <c r="N55" s="835">
        <f t="shared" si="7"/>
        <v>293.00340820000008</v>
      </c>
      <c r="P55" s="847"/>
      <c r="Q55" s="836"/>
      <c r="R55" s="865"/>
      <c r="S55" s="866"/>
      <c r="T55" s="850"/>
      <c r="U55" s="851"/>
      <c r="V55" s="814"/>
      <c r="W55" s="814"/>
    </row>
    <row r="56" spans="1:23">
      <c r="A56" s="796" t="s">
        <v>978</v>
      </c>
      <c r="B56" s="815"/>
      <c r="C56" s="834">
        <v>52</v>
      </c>
      <c r="D56" s="890">
        <v>2</v>
      </c>
      <c r="E56" s="828">
        <f t="shared" si="2"/>
        <v>1.1299435028248588</v>
      </c>
      <c r="F56" s="820">
        <v>10</v>
      </c>
      <c r="G56" s="822">
        <f t="shared" si="6"/>
        <v>-0.50024493651285229</v>
      </c>
      <c r="H56" s="887"/>
      <c r="I56" s="817">
        <v>6</v>
      </c>
      <c r="J56" s="817">
        <v>1</v>
      </c>
      <c r="K56" s="888">
        <f t="shared" si="8"/>
        <v>3.6918906800000002</v>
      </c>
      <c r="L56" s="878">
        <v>19</v>
      </c>
      <c r="M56" s="819">
        <f t="shared" si="4"/>
        <v>25</v>
      </c>
      <c r="N56" s="835">
        <f t="shared" si="7"/>
        <v>293.00340820000008</v>
      </c>
      <c r="P56" s="847"/>
      <c r="Q56" s="836"/>
      <c r="R56" s="865"/>
      <c r="S56" s="866"/>
      <c r="T56" s="850"/>
      <c r="U56" s="851"/>
      <c r="V56" s="814"/>
      <c r="W56" s="814"/>
    </row>
    <row r="57" spans="1:23">
      <c r="A57" s="815" t="s">
        <v>270</v>
      </c>
      <c r="B57" s="815"/>
      <c r="C57" s="834">
        <v>53</v>
      </c>
      <c r="D57" s="891">
        <v>8</v>
      </c>
      <c r="E57" s="828">
        <f t="shared" si="2"/>
        <v>4.5197740112994351</v>
      </c>
      <c r="F57" s="821">
        <v>5</v>
      </c>
      <c r="G57" s="822">
        <f t="shared" si="6"/>
        <v>-0.3999954917017588</v>
      </c>
      <c r="H57" s="881"/>
      <c r="I57" s="892"/>
      <c r="J57" s="892"/>
      <c r="K57" s="888">
        <f t="shared" si="8"/>
        <v>1.5543314699999999</v>
      </c>
      <c r="L57" s="880"/>
      <c r="M57" s="819">
        <f t="shared" si="4"/>
        <v>6</v>
      </c>
      <c r="N57" s="835"/>
      <c r="O57" s="818"/>
      <c r="P57" s="860" t="s">
        <v>509</v>
      </c>
      <c r="Q57" s="838"/>
      <c r="R57" s="867"/>
      <c r="S57" s="868"/>
      <c r="T57" s="850"/>
      <c r="U57" s="851"/>
      <c r="V57" s="814"/>
      <c r="W57" s="814"/>
    </row>
    <row r="58" spans="1:23">
      <c r="A58" s="796" t="s">
        <v>716</v>
      </c>
      <c r="B58" s="796" t="s">
        <v>717</v>
      </c>
      <c r="C58" s="834">
        <v>54</v>
      </c>
      <c r="D58" s="890">
        <v>2</v>
      </c>
      <c r="E58" s="828">
        <f t="shared" si="2"/>
        <v>1.1299435028248588</v>
      </c>
      <c r="F58" s="820">
        <v>10</v>
      </c>
      <c r="G58" s="822">
        <f t="shared" si="6"/>
        <v>-0.50024493651285229</v>
      </c>
      <c r="H58" s="877">
        <v>8.6999999999999993</v>
      </c>
      <c r="I58" s="813">
        <v>6.5</v>
      </c>
      <c r="J58" s="813">
        <v>2.2000000000000002</v>
      </c>
      <c r="K58" s="888">
        <f>(1.2627176*J58)+(0.29161387*J58*J58)</f>
        <v>4.1893898508000005</v>
      </c>
      <c r="L58" s="878">
        <v>19</v>
      </c>
      <c r="M58" s="819">
        <f t="shared" si="4"/>
        <v>25</v>
      </c>
      <c r="N58" s="835">
        <f t="shared" ref="N58:N70" si="9">213.96744-39.579185*L58+2.3020512*L58*L58</f>
        <v>293.00340820000008</v>
      </c>
      <c r="O58" s="816"/>
      <c r="P58" s="847"/>
      <c r="Q58" s="836"/>
      <c r="R58" s="865"/>
      <c r="S58" s="866"/>
      <c r="T58" s="850"/>
      <c r="U58" s="851"/>
      <c r="V58" s="814"/>
      <c r="W58" s="814"/>
    </row>
    <row r="59" spans="1:23">
      <c r="A59" s="796" t="s">
        <v>390</v>
      </c>
      <c r="B59" s="796" t="s">
        <v>721</v>
      </c>
      <c r="C59" s="834">
        <v>55</v>
      </c>
      <c r="D59" s="890">
        <v>2.5</v>
      </c>
      <c r="E59" s="828">
        <f t="shared" si="2"/>
        <v>1.4124293785310735</v>
      </c>
      <c r="F59" s="820">
        <v>10</v>
      </c>
      <c r="G59" s="822">
        <f t="shared" ref="G59:G70" si="10">(0.5091-161.58*F59)/(1+484.2*F59-16.14*POWER(F59,2))</f>
        <v>-0.50024493651285229</v>
      </c>
      <c r="H59" s="877">
        <v>8.6</v>
      </c>
      <c r="I59" s="813">
        <v>6</v>
      </c>
      <c r="J59" s="813">
        <v>2</v>
      </c>
      <c r="K59" s="888">
        <f>(1.2627176*J59)+(0.29161387*J59*J59)</f>
        <v>3.6918906800000002</v>
      </c>
      <c r="L59" s="878">
        <v>19</v>
      </c>
      <c r="M59" s="819">
        <f t="shared" si="4"/>
        <v>25</v>
      </c>
      <c r="N59" s="835">
        <f t="shared" si="9"/>
        <v>293.00340820000008</v>
      </c>
      <c r="O59" s="816"/>
      <c r="P59" s="847"/>
      <c r="Q59" s="836"/>
      <c r="R59" s="865"/>
      <c r="S59" s="866"/>
      <c r="T59" s="850"/>
      <c r="U59" s="851"/>
      <c r="V59" s="814"/>
      <c r="W59" s="814"/>
    </row>
    <row r="60" spans="1:23">
      <c r="A60" s="796" t="s">
        <v>723</v>
      </c>
      <c r="B60" s="815"/>
      <c r="C60" s="834">
        <v>56</v>
      </c>
      <c r="D60" s="890">
        <v>4.4000000000000004</v>
      </c>
      <c r="E60" s="828">
        <f t="shared" si="2"/>
        <v>2.4858757062146895</v>
      </c>
      <c r="F60" s="820">
        <v>0</v>
      </c>
      <c r="G60" s="822">
        <f t="shared" si="10"/>
        <v>0.5091</v>
      </c>
      <c r="H60" s="877"/>
      <c r="I60" s="817">
        <v>6.25</v>
      </c>
      <c r="J60" s="817">
        <v>0.75</v>
      </c>
      <c r="K60" s="888">
        <f>(1.2627176*J60)+(0.29161387*J60*J60)</f>
        <v>1.1110710018750001</v>
      </c>
      <c r="L60" s="878">
        <v>19</v>
      </c>
      <c r="M60" s="819">
        <f t="shared" si="4"/>
        <v>25</v>
      </c>
      <c r="N60" s="835">
        <f t="shared" si="9"/>
        <v>293.00340820000008</v>
      </c>
      <c r="O60" s="816"/>
      <c r="P60" s="847"/>
      <c r="Q60" s="836"/>
      <c r="R60" s="865"/>
      <c r="S60" s="866"/>
      <c r="T60" s="850"/>
      <c r="U60" s="851"/>
      <c r="V60" s="814"/>
      <c r="W60" s="814"/>
    </row>
    <row r="61" spans="1:23">
      <c r="A61" s="796" t="s">
        <v>973</v>
      </c>
      <c r="B61" s="796" t="s">
        <v>724</v>
      </c>
      <c r="C61" s="834">
        <v>57</v>
      </c>
      <c r="D61" s="890">
        <v>1.2</v>
      </c>
      <c r="E61" s="828">
        <f t="shared" si="2"/>
        <v>0.67796610169491522</v>
      </c>
      <c r="F61" s="820">
        <v>16</v>
      </c>
      <c r="G61" s="822">
        <f t="shared" si="10"/>
        <v>-0.71474380316118979</v>
      </c>
      <c r="H61" s="877">
        <v>8.1999999999999993</v>
      </c>
      <c r="I61" s="813">
        <v>6.25</v>
      </c>
      <c r="J61" s="813">
        <v>1.95</v>
      </c>
      <c r="K61" s="888">
        <f>(1.2627176*J61)+(0.29161387*J61*J61)</f>
        <v>3.5711610606750002</v>
      </c>
      <c r="L61" s="878">
        <v>19</v>
      </c>
      <c r="M61" s="819">
        <f t="shared" si="4"/>
        <v>25</v>
      </c>
      <c r="N61" s="835">
        <f t="shared" si="9"/>
        <v>293.00340820000008</v>
      </c>
      <c r="O61" s="816"/>
      <c r="P61" s="847" t="s">
        <v>476</v>
      </c>
      <c r="Q61" s="836">
        <v>1</v>
      </c>
      <c r="R61" s="865"/>
      <c r="S61" s="866"/>
      <c r="T61" s="850"/>
      <c r="U61" s="851"/>
      <c r="V61" s="814"/>
      <c r="W61" s="814"/>
    </row>
    <row r="62" spans="1:23">
      <c r="A62" s="796" t="s">
        <v>483</v>
      </c>
      <c r="B62" s="796"/>
      <c r="C62" s="834">
        <v>58</v>
      </c>
      <c r="D62" s="890">
        <v>1.7</v>
      </c>
      <c r="E62" s="828">
        <f t="shared" si="2"/>
        <v>0.96045197740112986</v>
      </c>
      <c r="F62" s="820">
        <v>16</v>
      </c>
      <c r="G62" s="822">
        <f t="shared" si="10"/>
        <v>-0.71474380316118979</v>
      </c>
      <c r="H62" s="877"/>
      <c r="I62" s="813"/>
      <c r="J62" s="813"/>
      <c r="K62" s="888"/>
      <c r="L62" s="878"/>
      <c r="M62" s="819"/>
      <c r="N62" s="835"/>
      <c r="O62" s="816"/>
      <c r="P62" s="847" t="s">
        <v>476</v>
      </c>
      <c r="Q62" s="836">
        <v>1</v>
      </c>
      <c r="R62" s="865"/>
      <c r="S62" s="866"/>
      <c r="T62" s="850"/>
      <c r="U62" s="851"/>
      <c r="V62" s="814"/>
      <c r="W62" s="814"/>
    </row>
    <row r="63" spans="1:23">
      <c r="A63" s="896" t="s">
        <v>299</v>
      </c>
      <c r="B63" s="896" t="s">
        <v>307</v>
      </c>
      <c r="C63" s="834">
        <v>59</v>
      </c>
      <c r="D63" s="890">
        <v>1.5</v>
      </c>
      <c r="E63" s="828">
        <f t="shared" si="2"/>
        <v>0.84745762711864403</v>
      </c>
      <c r="F63" s="820">
        <v>6.2</v>
      </c>
      <c r="G63" s="822">
        <f t="shared" si="10"/>
        <v>-0.42024643979917231</v>
      </c>
      <c r="H63" s="877">
        <v>7</v>
      </c>
      <c r="I63" s="817">
        <v>6.5</v>
      </c>
      <c r="J63" s="817">
        <v>0.5</v>
      </c>
      <c r="K63" s="888">
        <f t="shared" ref="K63:K70" si="11">(1.2627176*J63)+(0.29161387*J63*J63)</f>
        <v>0.70426226749999998</v>
      </c>
      <c r="L63" s="878">
        <v>20</v>
      </c>
      <c r="M63" s="819">
        <f t="shared" si="4"/>
        <v>26</v>
      </c>
      <c r="N63" s="835">
        <f t="shared" si="9"/>
        <v>343.20422000000008</v>
      </c>
      <c r="O63" s="816"/>
      <c r="P63" s="847" t="s">
        <v>476</v>
      </c>
      <c r="Q63" s="836">
        <v>1</v>
      </c>
      <c r="R63" s="865"/>
      <c r="S63" s="866"/>
      <c r="T63" s="850"/>
      <c r="U63" s="851"/>
      <c r="V63" s="814"/>
      <c r="W63" s="814"/>
    </row>
    <row r="64" spans="1:23">
      <c r="A64" s="796" t="s">
        <v>725</v>
      </c>
      <c r="B64" s="796" t="s">
        <v>726</v>
      </c>
      <c r="C64" s="834">
        <v>60</v>
      </c>
      <c r="D64" s="890">
        <v>4.4000000000000004</v>
      </c>
      <c r="E64" s="828">
        <f t="shared" si="2"/>
        <v>2.4858757062146895</v>
      </c>
      <c r="F64" s="820">
        <v>10</v>
      </c>
      <c r="G64" s="822">
        <f t="shared" si="10"/>
        <v>-0.50024493651285229</v>
      </c>
      <c r="H64" s="877">
        <v>8</v>
      </c>
      <c r="I64" s="813">
        <v>6.15</v>
      </c>
      <c r="J64" s="813">
        <v>1.85</v>
      </c>
      <c r="K64" s="888">
        <f t="shared" si="11"/>
        <v>3.3340760300750003</v>
      </c>
      <c r="L64" s="878">
        <v>19</v>
      </c>
      <c r="M64" s="819">
        <f t="shared" si="4"/>
        <v>25</v>
      </c>
      <c r="N64" s="835">
        <f t="shared" si="9"/>
        <v>293.00340820000008</v>
      </c>
      <c r="O64" s="816"/>
      <c r="P64" s="847"/>
      <c r="Q64" s="836"/>
      <c r="R64" s="865"/>
      <c r="S64" s="866"/>
      <c r="T64" s="850"/>
      <c r="U64" s="851"/>
      <c r="V64" s="814"/>
      <c r="W64" s="814"/>
    </row>
    <row r="65" spans="1:23">
      <c r="A65" s="796" t="s">
        <v>487</v>
      </c>
      <c r="B65" s="815"/>
      <c r="C65" s="834">
        <v>61</v>
      </c>
      <c r="D65" s="890">
        <v>1.6</v>
      </c>
      <c r="E65" s="828">
        <f t="shared" si="2"/>
        <v>0.903954802259887</v>
      </c>
      <c r="F65" s="820">
        <v>10</v>
      </c>
      <c r="G65" s="822">
        <f>(0.5091-161.58*F65)/(1+484.2*F65-16.14*POWER(F65,2))</f>
        <v>-0.50024493651285229</v>
      </c>
      <c r="H65" s="877">
        <v>7.5</v>
      </c>
      <c r="I65" s="813">
        <v>6.5</v>
      </c>
      <c r="J65" s="813">
        <v>1</v>
      </c>
      <c r="K65" s="884">
        <f>(1.2627176*J65)+(0.29161387*J65*J65)</f>
        <v>1.5543314699999999</v>
      </c>
      <c r="L65" s="878">
        <v>19</v>
      </c>
      <c r="M65" s="819">
        <f>L65+6</f>
        <v>25</v>
      </c>
      <c r="N65" s="835">
        <f>213.96744-39.579185*L65+2.3020512*L65*L65</f>
        <v>293.00340820000008</v>
      </c>
      <c r="P65" s="847"/>
      <c r="Q65" s="836"/>
      <c r="R65" s="865"/>
      <c r="S65" s="866"/>
      <c r="T65" s="850"/>
      <c r="U65" s="851"/>
      <c r="V65" s="814"/>
      <c r="W65" s="814"/>
    </row>
    <row r="66" spans="1:23">
      <c r="A66" s="796" t="s">
        <v>484</v>
      </c>
      <c r="B66" s="796" t="s">
        <v>729</v>
      </c>
      <c r="C66" s="834">
        <v>62</v>
      </c>
      <c r="D66" s="890">
        <v>1.7</v>
      </c>
      <c r="E66" s="828">
        <f t="shared" si="2"/>
        <v>0.96045197740112986</v>
      </c>
      <c r="F66" s="820">
        <v>21</v>
      </c>
      <c r="G66" s="822">
        <f t="shared" si="10"/>
        <v>-1.1118188998053398</v>
      </c>
      <c r="H66" s="877">
        <v>8.6</v>
      </c>
      <c r="I66" s="813">
        <v>6.55</v>
      </c>
      <c r="J66" s="813">
        <v>2.0499999999999998</v>
      </c>
      <c r="K66" s="888">
        <f t="shared" si="11"/>
        <v>3.8140783686749993</v>
      </c>
      <c r="L66" s="878">
        <v>19</v>
      </c>
      <c r="M66" s="819">
        <f t="shared" si="4"/>
        <v>25</v>
      </c>
      <c r="N66" s="835">
        <f t="shared" si="9"/>
        <v>293.00340820000008</v>
      </c>
      <c r="O66" s="816"/>
      <c r="P66" s="847" t="s">
        <v>476</v>
      </c>
      <c r="Q66" s="836">
        <v>1</v>
      </c>
      <c r="R66" s="865"/>
      <c r="S66" s="866"/>
      <c r="T66" s="850"/>
      <c r="U66" s="851"/>
      <c r="V66" s="814"/>
      <c r="W66" s="814"/>
    </row>
    <row r="67" spans="1:23">
      <c r="A67" s="796" t="s">
        <v>269</v>
      </c>
      <c r="B67" s="796" t="s">
        <v>737</v>
      </c>
      <c r="C67" s="834">
        <v>63</v>
      </c>
      <c r="D67" s="890">
        <v>3.2</v>
      </c>
      <c r="E67" s="828">
        <f t="shared" si="2"/>
        <v>1.807909604519774</v>
      </c>
      <c r="F67" s="820">
        <v>29</v>
      </c>
      <c r="G67" s="822">
        <f t="shared" si="10"/>
        <v>-9.9887240438323577</v>
      </c>
      <c r="H67" s="877">
        <v>8.3000000000000007</v>
      </c>
      <c r="I67" s="813">
        <v>6.3</v>
      </c>
      <c r="J67" s="813">
        <v>2</v>
      </c>
      <c r="K67" s="888">
        <f t="shared" si="11"/>
        <v>3.6918906800000002</v>
      </c>
      <c r="L67" s="878">
        <v>19</v>
      </c>
      <c r="M67" s="819">
        <f t="shared" si="4"/>
        <v>25</v>
      </c>
      <c r="N67" s="835">
        <f t="shared" si="9"/>
        <v>293.00340820000008</v>
      </c>
      <c r="O67" s="816"/>
      <c r="P67" s="847" t="s">
        <v>476</v>
      </c>
      <c r="Q67" s="836"/>
      <c r="R67" s="865"/>
      <c r="S67" s="866"/>
      <c r="T67" s="850"/>
      <c r="U67" s="851"/>
      <c r="V67" s="814"/>
      <c r="W67" s="814"/>
    </row>
    <row r="68" spans="1:23">
      <c r="A68" s="796" t="s">
        <v>477</v>
      </c>
      <c r="B68" s="796" t="s">
        <v>744</v>
      </c>
      <c r="C68" s="834">
        <v>64</v>
      </c>
      <c r="D68" s="890">
        <v>1.6</v>
      </c>
      <c r="E68" s="828">
        <f t="shared" si="2"/>
        <v>0.903954802259887</v>
      </c>
      <c r="F68" s="820">
        <v>10</v>
      </c>
      <c r="G68" s="822">
        <f t="shared" si="10"/>
        <v>-0.50024493651285229</v>
      </c>
      <c r="H68" s="877">
        <v>8.3000000000000007</v>
      </c>
      <c r="I68" s="813">
        <v>6.4</v>
      </c>
      <c r="J68" s="813">
        <v>1.9</v>
      </c>
      <c r="K68" s="888">
        <f t="shared" si="11"/>
        <v>3.4518895106999996</v>
      </c>
      <c r="L68" s="878">
        <v>19</v>
      </c>
      <c r="M68" s="819">
        <f t="shared" si="4"/>
        <v>25</v>
      </c>
      <c r="N68" s="835">
        <f t="shared" si="9"/>
        <v>293.00340820000008</v>
      </c>
      <c r="O68" s="816"/>
      <c r="P68" s="847"/>
      <c r="Q68" s="836"/>
      <c r="R68" s="865"/>
      <c r="S68" s="866"/>
      <c r="T68" s="850"/>
      <c r="U68" s="851"/>
      <c r="V68" s="814"/>
      <c r="W68" s="814"/>
    </row>
    <row r="69" spans="1:23">
      <c r="A69" s="796" t="s">
        <v>730</v>
      </c>
      <c r="B69" s="796" t="s">
        <v>731</v>
      </c>
      <c r="C69" s="834">
        <v>65</v>
      </c>
      <c r="D69" s="890">
        <v>2</v>
      </c>
      <c r="E69" s="828">
        <f t="shared" si="2"/>
        <v>1.1299435028248588</v>
      </c>
      <c r="F69" s="820">
        <v>10</v>
      </c>
      <c r="G69" s="822">
        <f t="shared" si="10"/>
        <v>-0.50024493651285229</v>
      </c>
      <c r="H69" s="877">
        <v>8.3000000000000007</v>
      </c>
      <c r="I69" s="813">
        <v>6.4</v>
      </c>
      <c r="J69" s="813">
        <v>1.9</v>
      </c>
      <c r="K69" s="888">
        <f t="shared" si="11"/>
        <v>3.4518895106999996</v>
      </c>
      <c r="L69" s="878">
        <v>19</v>
      </c>
      <c r="M69" s="819">
        <f t="shared" si="4"/>
        <v>25</v>
      </c>
      <c r="N69" s="835">
        <f t="shared" si="9"/>
        <v>293.00340820000008</v>
      </c>
      <c r="O69" s="816"/>
      <c r="P69" s="847"/>
      <c r="Q69" s="836"/>
      <c r="R69" s="865"/>
      <c r="S69" s="866"/>
      <c r="T69" s="853" t="s">
        <v>476</v>
      </c>
      <c r="U69" s="849">
        <v>4</v>
      </c>
      <c r="V69" s="814"/>
      <c r="W69" s="814"/>
    </row>
    <row r="70" spans="1:23">
      <c r="A70" s="796" t="s">
        <v>740</v>
      </c>
      <c r="B70" s="796" t="s">
        <v>741</v>
      </c>
      <c r="C70" s="834">
        <v>66</v>
      </c>
      <c r="D70" s="890">
        <v>1.5</v>
      </c>
      <c r="E70" s="828">
        <f>D70/1.77</f>
        <v>0.84745762711864403</v>
      </c>
      <c r="F70" s="820">
        <v>14</v>
      </c>
      <c r="G70" s="822">
        <f t="shared" si="10"/>
        <v>-0.62538323065181567</v>
      </c>
      <c r="H70" s="877"/>
      <c r="I70" s="813">
        <v>6</v>
      </c>
      <c r="J70" s="813">
        <v>1</v>
      </c>
      <c r="K70" s="888">
        <f t="shared" si="11"/>
        <v>1.5543314699999999</v>
      </c>
      <c r="L70" s="878">
        <v>19</v>
      </c>
      <c r="M70" s="819">
        <f t="shared" si="4"/>
        <v>25</v>
      </c>
      <c r="N70" s="835">
        <f t="shared" si="9"/>
        <v>293.00340820000008</v>
      </c>
      <c r="O70" s="816"/>
      <c r="P70" s="847" t="s">
        <v>476</v>
      </c>
      <c r="Q70" s="836">
        <v>1</v>
      </c>
      <c r="R70" s="865"/>
      <c r="S70" s="866"/>
      <c r="T70" s="850"/>
      <c r="U70" s="851"/>
      <c r="V70" s="814"/>
      <c r="W70" s="814"/>
    </row>
    <row r="71" spans="1:23">
      <c r="A71" s="796" t="s">
        <v>512</v>
      </c>
      <c r="B71" s="796"/>
      <c r="C71" s="834">
        <v>67</v>
      </c>
      <c r="D71" s="890">
        <v>6</v>
      </c>
      <c r="E71" s="828">
        <v>10.620000000000001</v>
      </c>
      <c r="F71" s="820">
        <v>10</v>
      </c>
      <c r="G71" s="822">
        <v>-0.50024493651285229</v>
      </c>
      <c r="H71" s="877">
        <v>5.5</v>
      </c>
      <c r="I71" s="813">
        <v>5</v>
      </c>
      <c r="J71" s="743">
        <v>0.5</v>
      </c>
      <c r="K71" s="888">
        <v>0.70426226749999998</v>
      </c>
      <c r="L71" s="878">
        <v>19</v>
      </c>
      <c r="M71" s="819">
        <v>25</v>
      </c>
      <c r="N71" s="835">
        <v>293.00340820000008</v>
      </c>
      <c r="O71" s="816"/>
      <c r="P71" s="847"/>
      <c r="Q71" s="836"/>
      <c r="R71" s="865"/>
      <c r="S71" s="866" t="s">
        <v>536</v>
      </c>
      <c r="T71" s="850"/>
      <c r="U71" s="851"/>
      <c r="V71" s="814"/>
      <c r="W71" s="814"/>
    </row>
    <row r="72" spans="1:23">
      <c r="A72" s="796" t="s">
        <v>513</v>
      </c>
      <c r="B72" s="796"/>
      <c r="C72" s="834">
        <v>68</v>
      </c>
      <c r="D72" s="890">
        <v>6</v>
      </c>
      <c r="E72" s="828">
        <v>10.620000000000001</v>
      </c>
      <c r="F72" s="820">
        <v>10</v>
      </c>
      <c r="G72" s="822">
        <v>-0.50024493651285229</v>
      </c>
      <c r="H72" s="877">
        <v>5.5</v>
      </c>
      <c r="I72" s="813">
        <v>5</v>
      </c>
      <c r="J72" s="743">
        <v>0.5</v>
      </c>
      <c r="K72" s="888">
        <v>0.70426226749999998</v>
      </c>
      <c r="L72" s="878">
        <v>19</v>
      </c>
      <c r="M72" s="819">
        <v>25</v>
      </c>
      <c r="N72" s="835">
        <v>293.00340820000008</v>
      </c>
      <c r="O72" s="816"/>
      <c r="P72" s="847" t="s">
        <v>476</v>
      </c>
      <c r="Q72" s="836" t="s">
        <v>537</v>
      </c>
      <c r="R72" s="865"/>
      <c r="S72" s="866" t="s">
        <v>536</v>
      </c>
      <c r="T72" s="850"/>
      <c r="U72" s="851"/>
      <c r="V72" s="814"/>
      <c r="W72" s="814"/>
    </row>
    <row r="73" spans="1:23">
      <c r="A73" s="796" t="s">
        <v>538</v>
      </c>
      <c r="B73" s="794" t="s">
        <v>539</v>
      </c>
      <c r="C73" s="834">
        <v>69</v>
      </c>
      <c r="D73" s="890">
        <v>6</v>
      </c>
      <c r="E73" s="828">
        <v>10.620000000000001</v>
      </c>
      <c r="F73" s="820">
        <v>10</v>
      </c>
      <c r="G73" s="822">
        <v>-0.50024493651285229</v>
      </c>
      <c r="H73" s="874">
        <v>7</v>
      </c>
      <c r="I73" s="813">
        <v>5.75</v>
      </c>
      <c r="J73" s="743">
        <v>1.25</v>
      </c>
      <c r="K73" s="888">
        <v>2.5502076075</v>
      </c>
      <c r="L73" s="878">
        <v>19</v>
      </c>
      <c r="M73" s="819">
        <v>25</v>
      </c>
      <c r="N73" s="835">
        <v>293.00340820000008</v>
      </c>
      <c r="O73" s="816"/>
      <c r="P73" s="847"/>
      <c r="Q73" s="836"/>
      <c r="R73" s="865"/>
      <c r="S73" s="866">
        <v>10</v>
      </c>
      <c r="T73" s="850"/>
      <c r="U73" s="851"/>
      <c r="V73" s="814"/>
      <c r="W73" s="814"/>
    </row>
    <row r="74" spans="1:23">
      <c r="A74" s="796" t="s">
        <v>734</v>
      </c>
      <c r="B74" s="796" t="s">
        <v>735</v>
      </c>
      <c r="C74" s="834">
        <v>70</v>
      </c>
      <c r="D74" s="890">
        <v>4.4000000000000004</v>
      </c>
      <c r="E74" s="828">
        <v>7.7880000000000011</v>
      </c>
      <c r="F74" s="820">
        <v>10</v>
      </c>
      <c r="G74" s="822">
        <v>-0.50024493651285229</v>
      </c>
      <c r="H74" s="877">
        <v>7.8</v>
      </c>
      <c r="I74" s="813">
        <v>5.65</v>
      </c>
      <c r="J74" s="743">
        <v>2.15</v>
      </c>
      <c r="K74" s="888">
        <v>4.0628279540749999</v>
      </c>
      <c r="L74" s="878">
        <v>19</v>
      </c>
      <c r="M74" s="819">
        <v>25</v>
      </c>
      <c r="N74" s="835">
        <v>293.00340820000008</v>
      </c>
      <c r="O74" s="816"/>
      <c r="P74" s="847"/>
      <c r="Q74" s="836"/>
      <c r="R74" s="865"/>
      <c r="S74" s="866"/>
      <c r="T74" s="850"/>
      <c r="U74" s="851"/>
      <c r="V74" s="814"/>
      <c r="W74" s="814"/>
    </row>
    <row r="75" spans="1:23">
      <c r="A75" s="796" t="s">
        <v>733</v>
      </c>
      <c r="B75" s="815"/>
      <c r="C75" s="834">
        <v>71</v>
      </c>
      <c r="D75" s="890">
        <v>1.5</v>
      </c>
      <c r="E75" s="828">
        <v>2.6550000000000002</v>
      </c>
      <c r="F75" s="820">
        <v>18</v>
      </c>
      <c r="G75" s="822">
        <v>-0.8338774790378638</v>
      </c>
      <c r="H75" s="877"/>
      <c r="I75" s="817">
        <v>6.25</v>
      </c>
      <c r="J75" s="712">
        <v>0.75</v>
      </c>
      <c r="K75" s="888">
        <v>1.1110710018750001</v>
      </c>
      <c r="L75" s="878">
        <v>19</v>
      </c>
      <c r="M75" s="819">
        <v>25</v>
      </c>
      <c r="N75" s="835">
        <v>293.00340820000008</v>
      </c>
      <c r="O75" s="816"/>
      <c r="P75" s="847" t="s">
        <v>476</v>
      </c>
      <c r="Q75" s="836">
        <v>1</v>
      </c>
      <c r="R75" s="865"/>
      <c r="S75" s="866"/>
      <c r="T75" s="850"/>
      <c r="U75" s="851"/>
      <c r="V75" s="814"/>
      <c r="W75" s="814"/>
    </row>
    <row r="76" spans="1:23">
      <c r="A76" s="796" t="s">
        <v>742</v>
      </c>
      <c r="B76" s="815"/>
      <c r="C76" s="834">
        <v>72</v>
      </c>
      <c r="D76" s="890">
        <v>4</v>
      </c>
      <c r="E76" s="828">
        <v>7.08</v>
      </c>
      <c r="F76" s="820">
        <v>0</v>
      </c>
      <c r="G76" s="822">
        <v>0.5091</v>
      </c>
      <c r="H76" s="877"/>
      <c r="I76" s="817">
        <v>6.25</v>
      </c>
      <c r="J76" s="712">
        <v>0.75</v>
      </c>
      <c r="K76" s="888">
        <v>1.1110710018750001</v>
      </c>
      <c r="L76" s="878">
        <v>19</v>
      </c>
      <c r="M76" s="819">
        <v>25</v>
      </c>
      <c r="N76" s="835">
        <v>293.00340820000008</v>
      </c>
      <c r="O76" s="816"/>
      <c r="P76" s="847"/>
      <c r="Q76" s="836"/>
      <c r="R76" s="865"/>
      <c r="S76" s="866"/>
      <c r="T76" s="850"/>
      <c r="U76" s="851"/>
      <c r="V76" s="814"/>
      <c r="W76" s="814"/>
    </row>
    <row r="77" spans="1:23">
      <c r="A77" s="796" t="s">
        <v>469</v>
      </c>
      <c r="B77" s="796" t="s">
        <v>739</v>
      </c>
      <c r="C77" s="834">
        <v>73</v>
      </c>
      <c r="D77" s="890">
        <v>1.7</v>
      </c>
      <c r="E77" s="828">
        <v>3.0089999999999999</v>
      </c>
      <c r="F77" s="820">
        <v>12</v>
      </c>
      <c r="G77" s="822">
        <v>-0.555869656232436</v>
      </c>
      <c r="H77" s="877">
        <v>8.3000000000000007</v>
      </c>
      <c r="I77" s="813">
        <v>6.25</v>
      </c>
      <c r="J77" s="743">
        <v>2.0499999999999998</v>
      </c>
      <c r="K77" s="888">
        <v>3.8140783686749993</v>
      </c>
      <c r="L77" s="878">
        <v>19</v>
      </c>
      <c r="M77" s="819">
        <v>25</v>
      </c>
      <c r="N77" s="835">
        <v>293.00340820000008</v>
      </c>
      <c r="O77" s="816"/>
      <c r="P77" s="847" t="s">
        <v>476</v>
      </c>
      <c r="Q77" s="836">
        <v>1</v>
      </c>
      <c r="R77" s="865"/>
      <c r="S77" s="866"/>
      <c r="T77" s="850"/>
      <c r="U77" s="851"/>
      <c r="V77" s="814"/>
      <c r="W77" s="814"/>
    </row>
    <row r="78" spans="1:23">
      <c r="A78" s="796" t="s">
        <v>489</v>
      </c>
      <c r="B78" s="796"/>
      <c r="C78" s="834">
        <v>74</v>
      </c>
      <c r="D78" s="890">
        <v>1.2</v>
      </c>
      <c r="E78" s="828">
        <v>2.1240000000000001</v>
      </c>
      <c r="F78" s="820">
        <v>13</v>
      </c>
      <c r="G78" s="822">
        <v>-0.58858358044137515</v>
      </c>
      <c r="H78" s="877"/>
      <c r="I78" s="813"/>
      <c r="J78" s="743"/>
      <c r="K78" s="888"/>
      <c r="L78" s="878"/>
      <c r="M78" s="819"/>
      <c r="N78" s="835"/>
      <c r="O78" s="816"/>
      <c r="P78" s="847" t="s">
        <v>476</v>
      </c>
      <c r="Q78" s="836">
        <v>1</v>
      </c>
      <c r="R78" s="865"/>
      <c r="S78" s="866"/>
      <c r="T78" s="850"/>
      <c r="U78" s="851"/>
      <c r="V78" s="814"/>
      <c r="W78" s="814"/>
    </row>
    <row r="79" spans="1:23">
      <c r="A79" s="796" t="s">
        <v>474</v>
      </c>
      <c r="B79" s="796" t="s">
        <v>748</v>
      </c>
      <c r="C79" s="834">
        <v>75</v>
      </c>
      <c r="D79" s="890">
        <v>1.6</v>
      </c>
      <c r="E79" s="828">
        <v>2.8320000000000003</v>
      </c>
      <c r="F79" s="820">
        <v>10</v>
      </c>
      <c r="G79" s="822">
        <v>-0.50024493651285229</v>
      </c>
      <c r="H79" s="877">
        <v>7.5</v>
      </c>
      <c r="I79" s="813">
        <v>6.25</v>
      </c>
      <c r="J79" s="743">
        <v>1.25</v>
      </c>
      <c r="K79" s="888">
        <v>2.0340436718750001</v>
      </c>
      <c r="L79" s="878">
        <v>19</v>
      </c>
      <c r="M79" s="819">
        <v>25</v>
      </c>
      <c r="N79" s="835">
        <v>293.00340820000008</v>
      </c>
      <c r="O79" s="816"/>
      <c r="P79" s="847"/>
      <c r="Q79" s="836"/>
      <c r="R79" s="865"/>
      <c r="S79" s="866"/>
      <c r="T79" s="850"/>
      <c r="U79" s="851"/>
      <c r="V79" s="814"/>
      <c r="W79" s="814"/>
    </row>
    <row r="80" spans="1:23">
      <c r="A80" s="796" t="s">
        <v>501</v>
      </c>
      <c r="B80" s="796" t="s">
        <v>746</v>
      </c>
      <c r="C80" s="834">
        <v>76</v>
      </c>
      <c r="D80" s="890">
        <v>3</v>
      </c>
      <c r="E80" s="828">
        <v>5.3100000000000005</v>
      </c>
      <c r="F80" s="820">
        <v>12</v>
      </c>
      <c r="G80" s="822">
        <v>-0.555869656232436</v>
      </c>
      <c r="H80" s="877"/>
      <c r="I80" s="813">
        <v>6</v>
      </c>
      <c r="J80" s="743">
        <v>1</v>
      </c>
      <c r="K80" s="888">
        <v>1.5543314699999999</v>
      </c>
      <c r="L80" s="878">
        <v>19</v>
      </c>
      <c r="M80" s="819">
        <v>25</v>
      </c>
      <c r="N80" s="835">
        <v>293.00340820000008</v>
      </c>
      <c r="O80" s="816"/>
      <c r="P80" s="847" t="s">
        <v>476</v>
      </c>
      <c r="Q80" s="836">
        <v>1</v>
      </c>
      <c r="R80" s="865"/>
      <c r="S80" s="866"/>
      <c r="T80" s="850"/>
      <c r="U80" s="851"/>
      <c r="V80" s="814"/>
      <c r="W80" s="814"/>
    </row>
    <row r="81" spans="1:23">
      <c r="A81" s="816" t="s">
        <v>370</v>
      </c>
      <c r="B81" s="816"/>
      <c r="C81" s="834">
        <v>77</v>
      </c>
      <c r="D81" s="890"/>
      <c r="E81" s="828">
        <v>0</v>
      </c>
      <c r="F81" s="820"/>
      <c r="G81" s="822"/>
      <c r="H81" s="921">
        <v>7</v>
      </c>
      <c r="I81" s="923">
        <v>6.3</v>
      </c>
      <c r="J81" s="743">
        <v>1</v>
      </c>
      <c r="K81" s="888">
        <v>1.5543314699999999</v>
      </c>
      <c r="L81" s="878"/>
      <c r="M81" s="819">
        <v>6</v>
      </c>
      <c r="N81" s="835">
        <v>213.96744000000001</v>
      </c>
      <c r="O81" s="816"/>
      <c r="P81" s="909"/>
      <c r="Q81" s="855"/>
      <c r="R81" s="915"/>
      <c r="S81" s="916"/>
      <c r="T81" s="850"/>
      <c r="U81" s="851"/>
      <c r="V81" s="814"/>
      <c r="W81" s="814"/>
    </row>
    <row r="82" spans="1:23">
      <c r="A82" s="796" t="s">
        <v>348</v>
      </c>
      <c r="B82" s="796" t="s">
        <v>749</v>
      </c>
      <c r="C82" s="834">
        <v>78</v>
      </c>
      <c r="D82" s="890">
        <v>5.6</v>
      </c>
      <c r="E82" s="828">
        <v>9.911999999999999</v>
      </c>
      <c r="F82" s="820">
        <v>7.6</v>
      </c>
      <c r="G82" s="822">
        <v>-0.44657863341795118</v>
      </c>
      <c r="H82" s="877">
        <v>8.4</v>
      </c>
      <c r="I82" s="813">
        <v>6.5</v>
      </c>
      <c r="J82" s="743">
        <v>1.9</v>
      </c>
      <c r="K82" s="888">
        <v>3.4518895106999996</v>
      </c>
      <c r="L82" s="878">
        <v>19</v>
      </c>
      <c r="M82" s="819">
        <v>25</v>
      </c>
      <c r="N82" s="835">
        <v>293.00340820000008</v>
      </c>
      <c r="O82" s="816"/>
      <c r="P82" s="847" t="s">
        <v>476</v>
      </c>
      <c r="Q82" s="836">
        <v>1</v>
      </c>
      <c r="R82" s="865"/>
      <c r="S82" s="866"/>
      <c r="T82" s="850"/>
      <c r="U82" s="851"/>
      <c r="V82" s="814"/>
      <c r="W82" s="814"/>
    </row>
    <row r="83" spans="1:23">
      <c r="A83" s="796" t="s">
        <v>1027</v>
      </c>
      <c r="B83" s="815"/>
      <c r="C83" s="834">
        <v>79</v>
      </c>
      <c r="D83" s="890">
        <v>4.4000000000000004</v>
      </c>
      <c r="E83" s="828">
        <v>7.7880000000000011</v>
      </c>
      <c r="F83" s="820">
        <v>10</v>
      </c>
      <c r="G83" s="822">
        <v>-0.50024493651285229</v>
      </c>
      <c r="H83" s="877"/>
      <c r="I83" s="817">
        <v>6.85</v>
      </c>
      <c r="J83" s="817">
        <v>1.45</v>
      </c>
      <c r="K83" s="888">
        <v>2.4440586816750001</v>
      </c>
      <c r="L83" s="878">
        <v>16</v>
      </c>
      <c r="M83" s="819">
        <v>22</v>
      </c>
      <c r="N83" s="835">
        <v>170.02558720000002</v>
      </c>
      <c r="O83" s="816"/>
      <c r="P83" s="847"/>
      <c r="Q83" s="836"/>
      <c r="R83" s="865"/>
      <c r="S83" s="866"/>
      <c r="T83" s="850"/>
      <c r="U83" s="851"/>
      <c r="V83" s="814"/>
      <c r="W83" s="814"/>
    </row>
    <row r="84" spans="1:23">
      <c r="A84" s="796" t="s">
        <v>308</v>
      </c>
      <c r="B84" s="796" t="s">
        <v>309</v>
      </c>
      <c r="C84" s="834">
        <v>80</v>
      </c>
      <c r="D84" s="890">
        <v>5</v>
      </c>
      <c r="E84" s="828">
        <v>8.85</v>
      </c>
      <c r="F84" s="820">
        <v>8.1325000000000003</v>
      </c>
      <c r="G84" s="822">
        <v>-0.45747289498786825</v>
      </c>
      <c r="H84" s="877">
        <v>6.7</v>
      </c>
      <c r="I84" s="813">
        <v>6.25</v>
      </c>
      <c r="J84" s="813">
        <v>0.35</v>
      </c>
      <c r="K84" s="888">
        <v>0.47767385907499993</v>
      </c>
      <c r="L84" s="878">
        <v>20</v>
      </c>
      <c r="M84" s="819">
        <v>26</v>
      </c>
      <c r="N84" s="835">
        <v>343.20422000000008</v>
      </c>
      <c r="O84" s="816"/>
      <c r="P84" s="847" t="s">
        <v>476</v>
      </c>
      <c r="Q84" s="836">
        <v>2</v>
      </c>
      <c r="R84" s="865"/>
      <c r="S84" s="866"/>
      <c r="T84" s="850"/>
      <c r="U84" s="851"/>
      <c r="V84" s="814"/>
      <c r="W84" s="814"/>
    </row>
    <row r="85" spans="1:23">
      <c r="A85" s="796" t="s">
        <v>755</v>
      </c>
      <c r="B85" s="796" t="s">
        <v>756</v>
      </c>
      <c r="C85" s="834">
        <v>81</v>
      </c>
      <c r="D85" s="890">
        <v>6</v>
      </c>
      <c r="E85" s="828">
        <v>10.620000000000001</v>
      </c>
      <c r="F85" s="820">
        <v>10</v>
      </c>
      <c r="G85" s="822">
        <v>-0.50024493651285229</v>
      </c>
      <c r="H85" s="877">
        <v>8.6999999999999993</v>
      </c>
      <c r="I85" s="813">
        <v>6.5</v>
      </c>
      <c r="J85" s="813">
        <v>2.2000000000000002</v>
      </c>
      <c r="K85" s="888">
        <v>4.1893898508000005</v>
      </c>
      <c r="L85" s="878">
        <v>19</v>
      </c>
      <c r="M85" s="819">
        <v>25</v>
      </c>
      <c r="N85" s="835">
        <v>293.00340820000008</v>
      </c>
      <c r="O85" s="816"/>
      <c r="P85" s="847" t="s">
        <v>476</v>
      </c>
      <c r="Q85" s="836"/>
      <c r="R85" s="865"/>
      <c r="S85" s="866"/>
      <c r="T85" s="850"/>
      <c r="U85" s="851"/>
      <c r="V85" s="814"/>
      <c r="W85" s="814"/>
    </row>
    <row r="86" spans="1:23">
      <c r="A86" s="796" t="s">
        <v>1037</v>
      </c>
      <c r="B86" s="796" t="s">
        <v>757</v>
      </c>
      <c r="C86" s="834">
        <v>82</v>
      </c>
      <c r="D86" s="890">
        <v>5</v>
      </c>
      <c r="E86" s="828">
        <v>8.85</v>
      </c>
      <c r="F86" s="820">
        <v>20</v>
      </c>
      <c r="G86" s="822">
        <v>-1.000647537937442</v>
      </c>
      <c r="H86" s="877">
        <v>8.4</v>
      </c>
      <c r="I86" s="813">
        <v>6.25</v>
      </c>
      <c r="J86" s="813">
        <v>1.2</v>
      </c>
      <c r="K86" s="888">
        <v>1.9351850927999998</v>
      </c>
      <c r="L86" s="878">
        <v>16</v>
      </c>
      <c r="M86" s="819">
        <v>22</v>
      </c>
      <c r="N86" s="835">
        <v>170.02558720000002</v>
      </c>
      <c r="O86" s="816"/>
      <c r="P86" s="847" t="s">
        <v>476</v>
      </c>
      <c r="Q86" s="836">
        <v>1</v>
      </c>
      <c r="R86" s="865"/>
      <c r="S86" s="866"/>
      <c r="T86" s="850"/>
      <c r="U86" s="851"/>
      <c r="V86" s="814"/>
      <c r="W86" s="814"/>
    </row>
    <row r="87" spans="1:23">
      <c r="A87" s="796" t="s">
        <v>759</v>
      </c>
      <c r="B87" s="815"/>
      <c r="C87" s="834">
        <v>83</v>
      </c>
      <c r="D87" s="890">
        <v>2</v>
      </c>
      <c r="E87" s="828">
        <v>3.54</v>
      </c>
      <c r="F87" s="820">
        <v>7.6</v>
      </c>
      <c r="G87" s="822">
        <v>-0.44657863341795118</v>
      </c>
      <c r="H87" s="877"/>
      <c r="I87" s="817">
        <v>6.5</v>
      </c>
      <c r="J87" s="817">
        <v>0.5</v>
      </c>
      <c r="K87" s="888">
        <v>0.70426226749999998</v>
      </c>
      <c r="L87" s="878">
        <v>19</v>
      </c>
      <c r="M87" s="819">
        <v>25</v>
      </c>
      <c r="N87" s="835">
        <v>293.00340820000008</v>
      </c>
      <c r="O87" s="816"/>
      <c r="P87" s="847" t="s">
        <v>476</v>
      </c>
      <c r="Q87" s="836">
        <v>1</v>
      </c>
      <c r="R87" s="865"/>
      <c r="S87" s="866"/>
      <c r="T87" s="850"/>
      <c r="U87" s="851"/>
      <c r="V87" s="814"/>
      <c r="W87" s="814"/>
    </row>
    <row r="88" spans="1:23">
      <c r="A88" s="796" t="s">
        <v>502</v>
      </c>
      <c r="B88" s="815"/>
      <c r="C88" s="834">
        <v>84</v>
      </c>
      <c r="D88" s="890">
        <v>3.2</v>
      </c>
      <c r="E88" s="828">
        <v>5.6640000000000006</v>
      </c>
      <c r="F88" s="820">
        <v>16</v>
      </c>
      <c r="G88" s="822">
        <v>-0.71474380316118979</v>
      </c>
      <c r="H88" s="877"/>
      <c r="I88" s="817"/>
      <c r="J88" s="817"/>
      <c r="K88" s="888"/>
      <c r="L88" s="878"/>
      <c r="M88" s="819"/>
      <c r="N88" s="835"/>
      <c r="O88" s="816"/>
      <c r="P88" s="847" t="s">
        <v>476</v>
      </c>
      <c r="Q88" s="836">
        <v>1</v>
      </c>
      <c r="R88" s="865"/>
      <c r="S88" s="866"/>
      <c r="T88" s="853" t="s">
        <v>476</v>
      </c>
      <c r="U88" s="849">
        <v>4</v>
      </c>
      <c r="V88" s="814"/>
      <c r="W88" s="814"/>
    </row>
    <row r="89" spans="1:23">
      <c r="A89" s="796" t="s">
        <v>473</v>
      </c>
      <c r="B89" s="796" t="s">
        <v>586</v>
      </c>
      <c r="C89" s="834">
        <v>85</v>
      </c>
      <c r="D89" s="890">
        <v>1</v>
      </c>
      <c r="E89" s="828">
        <v>1.77</v>
      </c>
      <c r="F89" s="820">
        <v>33</v>
      </c>
      <c r="G89" s="822">
        <v>3.3388217501847404</v>
      </c>
      <c r="H89" s="877">
        <v>8.3000000000000007</v>
      </c>
      <c r="I89" s="813">
        <v>6.4</v>
      </c>
      <c r="J89" s="813">
        <v>1.9</v>
      </c>
      <c r="K89" s="888">
        <v>3.4518895106999996</v>
      </c>
      <c r="L89" s="878">
        <v>19</v>
      </c>
      <c r="M89" s="819">
        <v>25</v>
      </c>
      <c r="N89" s="835">
        <v>293.00340820000008</v>
      </c>
      <c r="O89"/>
      <c r="P89" s="847" t="s">
        <v>476</v>
      </c>
      <c r="Q89" s="836">
        <v>1</v>
      </c>
      <c r="R89" s="865"/>
      <c r="S89" s="866"/>
      <c r="T89" s="850"/>
      <c r="U89" s="851"/>
      <c r="V89" s="814"/>
      <c r="W89" s="814"/>
    </row>
    <row r="90" spans="1:23">
      <c r="A90" s="796" t="s">
        <v>503</v>
      </c>
      <c r="B90" s="796"/>
      <c r="C90" s="834">
        <v>86</v>
      </c>
      <c r="D90" s="890">
        <v>2.8</v>
      </c>
      <c r="E90" s="828">
        <v>4.9559999999999995</v>
      </c>
      <c r="F90" s="820">
        <v>4.3</v>
      </c>
      <c r="G90" s="822">
        <v>-0.38903546132831685</v>
      </c>
      <c r="H90" s="877"/>
      <c r="I90" s="813"/>
      <c r="J90" s="813"/>
      <c r="K90" s="888"/>
      <c r="L90" s="878"/>
      <c r="M90" s="819"/>
      <c r="N90" s="835"/>
      <c r="O90"/>
      <c r="P90" s="847" t="s">
        <v>476</v>
      </c>
      <c r="Q90" s="836">
        <v>1</v>
      </c>
      <c r="R90" s="865"/>
      <c r="S90" s="866"/>
      <c r="T90" s="850"/>
      <c r="U90" s="851"/>
      <c r="V90" s="814"/>
      <c r="W90" s="814"/>
    </row>
    <row r="91" spans="1:23">
      <c r="A91" s="796" t="s">
        <v>472</v>
      </c>
      <c r="B91" s="796" t="s">
        <v>751</v>
      </c>
      <c r="C91" s="834">
        <v>87</v>
      </c>
      <c r="D91" s="890">
        <v>7</v>
      </c>
      <c r="E91" s="828">
        <v>12.39</v>
      </c>
      <c r="F91" s="820">
        <v>5.9</v>
      </c>
      <c r="G91" s="822">
        <v>-0.41499784881756396</v>
      </c>
      <c r="H91" s="877">
        <v>8.3000000000000007</v>
      </c>
      <c r="I91" s="813">
        <v>6.25</v>
      </c>
      <c r="J91" s="813">
        <v>2.0499999999999998</v>
      </c>
      <c r="K91" s="888">
        <v>3.8140783686749993</v>
      </c>
      <c r="L91" s="878">
        <v>19</v>
      </c>
      <c r="M91" s="819">
        <v>25</v>
      </c>
      <c r="N91" s="835">
        <v>293.00340820000008</v>
      </c>
      <c r="O91"/>
      <c r="P91" s="847" t="s">
        <v>476</v>
      </c>
      <c r="Q91" s="836">
        <v>1</v>
      </c>
      <c r="R91" s="865"/>
      <c r="S91" s="866"/>
      <c r="T91" s="850"/>
      <c r="U91" s="851"/>
      <c r="V91" s="814"/>
      <c r="W91" s="814"/>
    </row>
    <row r="92" spans="1:23">
      <c r="A92" s="796" t="s">
        <v>587</v>
      </c>
      <c r="B92" s="796" t="s">
        <v>588</v>
      </c>
      <c r="C92" s="834">
        <v>88</v>
      </c>
      <c r="D92" s="890">
        <v>1.7</v>
      </c>
      <c r="E92" s="828">
        <v>3.0089999999999999</v>
      </c>
      <c r="F92" s="820">
        <v>5.9</v>
      </c>
      <c r="G92" s="822">
        <v>-0.41499784881756396</v>
      </c>
      <c r="H92" s="877">
        <v>8.4</v>
      </c>
      <c r="I92" s="813">
        <v>6.35</v>
      </c>
      <c r="J92" s="813">
        <v>2.0499999999999998</v>
      </c>
      <c r="K92" s="888">
        <v>3.8140783686749993</v>
      </c>
      <c r="L92" s="878">
        <v>19</v>
      </c>
      <c r="M92" s="819">
        <v>25</v>
      </c>
      <c r="N92" s="835">
        <v>293.00340820000008</v>
      </c>
      <c r="O92"/>
      <c r="P92" s="847" t="s">
        <v>476</v>
      </c>
      <c r="Q92" s="836">
        <v>1</v>
      </c>
      <c r="R92" s="865"/>
      <c r="S92" s="866"/>
      <c r="T92" s="850"/>
      <c r="U92" s="851"/>
      <c r="V92" s="814"/>
      <c r="W92" s="814"/>
    </row>
    <row r="93" spans="1:23">
      <c r="A93" s="796" t="s">
        <v>471</v>
      </c>
      <c r="B93" s="796" t="s">
        <v>590</v>
      </c>
      <c r="C93" s="834">
        <v>89</v>
      </c>
      <c r="D93" s="890">
        <v>2.5</v>
      </c>
      <c r="E93" s="828">
        <v>4.4249999999999998</v>
      </c>
      <c r="F93" s="820">
        <v>10</v>
      </c>
      <c r="G93" s="822">
        <v>-0.50024493651285229</v>
      </c>
      <c r="H93" s="877">
        <v>8.6999999999999993</v>
      </c>
      <c r="I93" s="813">
        <v>6.6</v>
      </c>
      <c r="J93" s="813">
        <v>2.1</v>
      </c>
      <c r="K93" s="888">
        <v>3.9377241267000005</v>
      </c>
      <c r="L93" s="878">
        <v>19</v>
      </c>
      <c r="M93" s="819">
        <v>25</v>
      </c>
      <c r="N93" s="835">
        <v>293.00340820000008</v>
      </c>
      <c r="O93"/>
      <c r="P93" s="847"/>
      <c r="Q93" s="836"/>
      <c r="R93" s="865"/>
      <c r="S93" s="866"/>
      <c r="T93" s="850"/>
      <c r="U93" s="851"/>
      <c r="V93" s="814"/>
      <c r="W93" s="814"/>
    </row>
    <row r="94" spans="1:23">
      <c r="A94" s="796" t="s">
        <v>593</v>
      </c>
      <c r="B94" s="796" t="s">
        <v>594</v>
      </c>
      <c r="C94" s="834">
        <v>90</v>
      </c>
      <c r="D94" s="890">
        <v>1.5</v>
      </c>
      <c r="E94" s="828">
        <v>2.6550000000000002</v>
      </c>
      <c r="F94" s="820">
        <v>11</v>
      </c>
      <c r="G94" s="822">
        <v>-0.52659572765584162</v>
      </c>
      <c r="H94" s="877">
        <v>8.6999999999999993</v>
      </c>
      <c r="I94" s="813">
        <v>6.5</v>
      </c>
      <c r="J94" s="813">
        <v>2.2000000000000002</v>
      </c>
      <c r="K94" s="888">
        <v>4.1893898508000005</v>
      </c>
      <c r="L94" s="878">
        <v>19</v>
      </c>
      <c r="M94" s="819">
        <v>25</v>
      </c>
      <c r="N94" s="835">
        <v>293.00340820000008</v>
      </c>
      <c r="O94"/>
      <c r="P94" s="847" t="s">
        <v>476</v>
      </c>
      <c r="Q94" s="836">
        <v>1</v>
      </c>
      <c r="R94" s="865"/>
      <c r="S94" s="866"/>
      <c r="T94" s="850"/>
      <c r="U94" s="851"/>
      <c r="V94" s="814"/>
      <c r="W94" s="814"/>
    </row>
    <row r="95" spans="1:23">
      <c r="A95" s="796" t="s">
        <v>298</v>
      </c>
      <c r="B95" s="815" t="s">
        <v>305</v>
      </c>
      <c r="C95" s="834">
        <v>91</v>
      </c>
      <c r="D95" s="890">
        <v>2</v>
      </c>
      <c r="E95" s="828">
        <v>3.54</v>
      </c>
      <c r="F95" s="820"/>
      <c r="G95" s="822">
        <v>0.5091</v>
      </c>
      <c r="H95" s="877">
        <v>7</v>
      </c>
      <c r="I95" s="817">
        <v>6.25</v>
      </c>
      <c r="J95" s="817">
        <v>0.75</v>
      </c>
      <c r="K95" s="888">
        <v>1.1110710018750001</v>
      </c>
      <c r="L95" s="878">
        <v>20</v>
      </c>
      <c r="M95" s="819">
        <v>26</v>
      </c>
      <c r="N95" s="835">
        <v>343.20422000000008</v>
      </c>
      <c r="O95"/>
      <c r="P95" s="847" t="s">
        <v>476</v>
      </c>
      <c r="Q95" s="836">
        <v>3</v>
      </c>
      <c r="R95" s="865"/>
      <c r="S95" s="866"/>
      <c r="T95" s="850"/>
      <c r="U95" s="851"/>
      <c r="V95" s="814"/>
      <c r="W95" s="814"/>
    </row>
    <row r="96" spans="1:23">
      <c r="A96" s="796" t="s">
        <v>596</v>
      </c>
      <c r="B96" s="796" t="s">
        <v>597</v>
      </c>
      <c r="C96" s="834">
        <v>92</v>
      </c>
      <c r="D96" s="890">
        <v>2</v>
      </c>
      <c r="E96" s="828">
        <v>3.54</v>
      </c>
      <c r="F96" s="820">
        <v>10</v>
      </c>
      <c r="G96" s="822">
        <v>-0.50024493651285229</v>
      </c>
      <c r="H96" s="877">
        <v>8.6999999999999993</v>
      </c>
      <c r="I96" s="813">
        <v>6.5</v>
      </c>
      <c r="J96" s="813">
        <v>2.2000000000000002</v>
      </c>
      <c r="K96" s="888">
        <v>4.1893898508000005</v>
      </c>
      <c r="L96" s="878">
        <v>19</v>
      </c>
      <c r="M96" s="819">
        <v>25</v>
      </c>
      <c r="N96" s="835">
        <v>293.00340820000008</v>
      </c>
      <c r="O96"/>
      <c r="P96" s="847"/>
      <c r="Q96" s="836"/>
      <c r="R96" s="865"/>
      <c r="S96" s="866"/>
      <c r="T96" s="850"/>
      <c r="U96" s="851"/>
      <c r="V96" s="814"/>
      <c r="W96" s="814"/>
    </row>
    <row r="97" spans="1:23">
      <c r="A97" s="796" t="s">
        <v>763</v>
      </c>
      <c r="B97" s="796" t="s">
        <v>598</v>
      </c>
      <c r="C97" s="834">
        <v>93</v>
      </c>
      <c r="D97" s="890">
        <v>2.5</v>
      </c>
      <c r="E97" s="828">
        <v>4.4249999999999998</v>
      </c>
      <c r="F97" s="820">
        <v>9.9</v>
      </c>
      <c r="G97" s="822">
        <v>-0.49775378866850456</v>
      </c>
      <c r="H97" s="877">
        <v>8.6999999999999993</v>
      </c>
      <c r="I97" s="813">
        <v>6.5</v>
      </c>
      <c r="J97" s="813">
        <v>2.2000000000000002</v>
      </c>
      <c r="K97" s="888">
        <v>4.1893898508000005</v>
      </c>
      <c r="L97" s="878">
        <v>24</v>
      </c>
      <c r="M97" s="819">
        <v>30</v>
      </c>
      <c r="N97" s="835">
        <v>590.04849120000006</v>
      </c>
      <c r="O97"/>
      <c r="P97" s="847" t="s">
        <v>476</v>
      </c>
      <c r="Q97" s="836">
        <v>1</v>
      </c>
      <c r="R97" s="865"/>
      <c r="S97" s="866"/>
      <c r="T97" s="850"/>
      <c r="U97" s="851"/>
      <c r="V97" s="814"/>
      <c r="W97" s="814"/>
    </row>
    <row r="98" spans="1:23">
      <c r="A98" s="796" t="s">
        <v>600</v>
      </c>
      <c r="B98" s="815"/>
      <c r="C98" s="834">
        <v>94</v>
      </c>
      <c r="D98" s="890">
        <v>7.1</v>
      </c>
      <c r="E98" s="828">
        <v>12.567</v>
      </c>
      <c r="F98" s="820">
        <v>0</v>
      </c>
      <c r="G98" s="822">
        <v>0.5091</v>
      </c>
      <c r="H98" s="877">
        <v>7.5</v>
      </c>
      <c r="I98" s="817">
        <v>6.5</v>
      </c>
      <c r="J98" s="817">
        <v>1</v>
      </c>
      <c r="K98" s="888">
        <v>1.5543314699999999</v>
      </c>
      <c r="L98" s="878">
        <v>19</v>
      </c>
      <c r="M98" s="819">
        <v>25</v>
      </c>
      <c r="N98" s="835">
        <v>293.00340820000008</v>
      </c>
      <c r="O98"/>
      <c r="P98" s="847"/>
      <c r="Q98" s="836"/>
      <c r="R98" s="865"/>
      <c r="S98" s="866"/>
      <c r="T98" s="850"/>
      <c r="U98" s="851"/>
      <c r="V98" s="814"/>
      <c r="W98" s="814"/>
    </row>
    <row r="99" spans="1:23">
      <c r="A99" s="796" t="s">
        <v>488</v>
      </c>
      <c r="B99" s="815"/>
      <c r="C99" s="834">
        <v>95</v>
      </c>
      <c r="D99" s="890">
        <v>0.9</v>
      </c>
      <c r="E99" s="828">
        <v>1.593</v>
      </c>
      <c r="F99" s="820">
        <v>9</v>
      </c>
      <c r="G99" s="822">
        <v>-0.47639847810556257</v>
      </c>
      <c r="H99" s="877"/>
      <c r="I99" s="817"/>
      <c r="J99" s="817"/>
      <c r="K99" s="888"/>
      <c r="L99" s="878"/>
      <c r="M99" s="819"/>
      <c r="N99" s="835"/>
      <c r="O99"/>
      <c r="P99" s="847" t="s">
        <v>476</v>
      </c>
      <c r="Q99" s="836">
        <v>1</v>
      </c>
      <c r="R99" s="865"/>
      <c r="S99" s="866"/>
      <c r="T99" s="850"/>
      <c r="U99" s="851"/>
      <c r="V99" s="814"/>
      <c r="W99" s="814"/>
    </row>
    <row r="100" spans="1:23">
      <c r="A100" s="796" t="s">
        <v>500</v>
      </c>
      <c r="B100" s="796" t="s">
        <v>602</v>
      </c>
      <c r="C100" s="834">
        <v>96</v>
      </c>
      <c r="D100" s="890">
        <v>3</v>
      </c>
      <c r="E100" s="828">
        <v>5.3100000000000005</v>
      </c>
      <c r="F100" s="820">
        <v>11</v>
      </c>
      <c r="G100" s="822">
        <v>-0.52659572765584162</v>
      </c>
      <c r="H100" s="877"/>
      <c r="I100" s="813">
        <v>6.125</v>
      </c>
      <c r="J100" s="813">
        <v>0.625</v>
      </c>
      <c r="K100" s="888">
        <v>0.90311016796874999</v>
      </c>
      <c r="L100" s="878">
        <v>19</v>
      </c>
      <c r="M100" s="819">
        <v>25</v>
      </c>
      <c r="N100" s="835">
        <v>293.00340820000008</v>
      </c>
      <c r="O100"/>
      <c r="P100" s="847" t="s">
        <v>476</v>
      </c>
      <c r="Q100" s="836">
        <v>1</v>
      </c>
      <c r="R100" s="865"/>
      <c r="S100" s="866"/>
      <c r="T100" s="853" t="s">
        <v>476</v>
      </c>
      <c r="U100" s="849">
        <v>4</v>
      </c>
      <c r="V100" s="814"/>
      <c r="W100" s="814"/>
    </row>
    <row r="101" spans="1:23">
      <c r="A101" s="796" t="s">
        <v>604</v>
      </c>
      <c r="B101" s="796" t="s">
        <v>605</v>
      </c>
      <c r="C101" s="834">
        <v>97</v>
      </c>
      <c r="D101" s="890">
        <v>2</v>
      </c>
      <c r="E101" s="828">
        <v>3.54</v>
      </c>
      <c r="F101" s="820">
        <v>10</v>
      </c>
      <c r="G101" s="822">
        <v>-0.50024493651285229</v>
      </c>
      <c r="H101" s="877">
        <v>8.3000000000000007</v>
      </c>
      <c r="I101" s="813">
        <v>6.65</v>
      </c>
      <c r="J101" s="813">
        <v>1.65</v>
      </c>
      <c r="K101" s="888">
        <v>2.8774028010750001</v>
      </c>
      <c r="L101" s="878">
        <v>19</v>
      </c>
      <c r="M101" s="819">
        <v>25</v>
      </c>
      <c r="N101" s="835">
        <v>293.00340820000008</v>
      </c>
      <c r="O101"/>
      <c r="P101" s="847"/>
      <c r="Q101" s="836"/>
      <c r="R101" s="865"/>
      <c r="S101" s="866"/>
      <c r="T101" s="850"/>
      <c r="U101" s="851"/>
      <c r="V101" s="814"/>
      <c r="W101" s="814"/>
    </row>
    <row r="102" spans="1:23">
      <c r="A102" s="796" t="s">
        <v>606</v>
      </c>
      <c r="B102" s="796" t="s">
        <v>607</v>
      </c>
      <c r="C102" s="834">
        <v>98</v>
      </c>
      <c r="D102" s="890">
        <v>2.5</v>
      </c>
      <c r="E102" s="828">
        <v>4.4249999999999998</v>
      </c>
      <c r="F102" s="820">
        <v>10</v>
      </c>
      <c r="G102" s="822">
        <v>-0.50024493651285229</v>
      </c>
      <c r="H102" s="877">
        <v>8.6999999999999993</v>
      </c>
      <c r="I102" s="813">
        <v>7</v>
      </c>
      <c r="J102" s="813">
        <v>1.7</v>
      </c>
      <c r="K102" s="888">
        <v>2.9893840042999997</v>
      </c>
      <c r="L102" s="878">
        <v>19</v>
      </c>
      <c r="M102" s="819">
        <v>25</v>
      </c>
      <c r="N102" s="835">
        <v>293.00340820000008</v>
      </c>
      <c r="O102"/>
      <c r="P102" s="847"/>
      <c r="Q102" s="836"/>
      <c r="R102" s="865"/>
      <c r="S102" s="866"/>
      <c r="T102" s="850"/>
      <c r="U102" s="851"/>
      <c r="V102" s="814"/>
      <c r="W102" s="814"/>
    </row>
    <row r="103" spans="1:23">
      <c r="A103" s="815" t="s">
        <v>347</v>
      </c>
      <c r="B103" s="815"/>
      <c r="C103" s="834">
        <v>99</v>
      </c>
      <c r="D103" s="891">
        <v>5.7</v>
      </c>
      <c r="E103" s="828">
        <v>10.089</v>
      </c>
      <c r="F103" s="821">
        <v>5.4</v>
      </c>
      <c r="G103" s="822">
        <v>-0.40653035639095564</v>
      </c>
      <c r="H103" s="877"/>
      <c r="I103" s="817"/>
      <c r="J103" s="817"/>
      <c r="K103" s="888">
        <v>0</v>
      </c>
      <c r="L103" s="878">
        <v>19</v>
      </c>
      <c r="M103" s="819">
        <v>25</v>
      </c>
      <c r="N103" s="835">
        <v>293.00340820000008</v>
      </c>
      <c r="O103"/>
      <c r="P103" s="856" t="s">
        <v>476</v>
      </c>
      <c r="Q103" s="837">
        <v>1</v>
      </c>
      <c r="R103" s="869"/>
      <c r="S103" s="870"/>
      <c r="T103" s="850"/>
      <c r="U103" s="851"/>
      <c r="V103" s="814"/>
      <c r="W103" s="814"/>
    </row>
    <row r="104" spans="1:23">
      <c r="A104" s="796" t="s">
        <v>470</v>
      </c>
      <c r="B104" s="796" t="s">
        <v>592</v>
      </c>
      <c r="C104" s="834">
        <v>100</v>
      </c>
      <c r="D104" s="890">
        <v>6</v>
      </c>
      <c r="E104" s="828">
        <v>10.620000000000001</v>
      </c>
      <c r="F104" s="820">
        <v>7.1</v>
      </c>
      <c r="G104" s="822">
        <v>-0.43680777247439884</v>
      </c>
      <c r="H104" s="877"/>
      <c r="I104" s="813"/>
      <c r="J104" s="813"/>
      <c r="K104" s="888">
        <v>0</v>
      </c>
      <c r="L104" s="878">
        <v>21</v>
      </c>
      <c r="M104" s="819">
        <v>27</v>
      </c>
      <c r="N104" s="835">
        <v>398.00913419999995</v>
      </c>
      <c r="O104"/>
      <c r="P104" s="847" t="s">
        <v>476</v>
      </c>
      <c r="Q104" s="836">
        <v>1</v>
      </c>
      <c r="R104" s="865"/>
      <c r="S104" s="866"/>
      <c r="T104" s="850"/>
      <c r="U104" s="851"/>
      <c r="V104" s="814"/>
      <c r="W104" s="814"/>
    </row>
    <row r="105" spans="1:23">
      <c r="A105" s="796" t="s">
        <v>609</v>
      </c>
      <c r="B105" s="796" t="s">
        <v>610</v>
      </c>
      <c r="C105" s="834">
        <v>101</v>
      </c>
      <c r="D105" s="890">
        <v>6</v>
      </c>
      <c r="E105" s="828">
        <v>10.620000000000001</v>
      </c>
      <c r="F105" s="820">
        <v>7.1</v>
      </c>
      <c r="G105" s="822">
        <v>-0.43680777247439884</v>
      </c>
      <c r="H105" s="877"/>
      <c r="I105" s="813">
        <v>6.25</v>
      </c>
      <c r="J105" s="813">
        <v>0.75</v>
      </c>
      <c r="K105" s="888">
        <v>1.1110710018750001</v>
      </c>
      <c r="L105" s="878">
        <v>21</v>
      </c>
      <c r="M105" s="819">
        <v>27</v>
      </c>
      <c r="N105" s="835">
        <v>398.00913419999995</v>
      </c>
      <c r="O105"/>
      <c r="P105" s="847" t="s">
        <v>476</v>
      </c>
      <c r="Q105" s="836">
        <v>1</v>
      </c>
      <c r="R105" s="865"/>
      <c r="S105" s="866"/>
      <c r="T105" s="850"/>
      <c r="U105" s="851"/>
      <c r="V105" s="814"/>
      <c r="W105" s="814"/>
    </row>
    <row r="106" spans="1:23">
      <c r="A106" s="899" t="s">
        <v>505</v>
      </c>
      <c r="B106" s="897"/>
      <c r="C106" s="834">
        <v>102</v>
      </c>
      <c r="D106" s="891">
        <v>4.7</v>
      </c>
      <c r="E106" s="828">
        <v>8.3190000000000008</v>
      </c>
      <c r="F106" s="902">
        <v>9</v>
      </c>
      <c r="G106" s="822">
        <v>-0.47639847810556257</v>
      </c>
      <c r="H106" s="924">
        <v>7</v>
      </c>
      <c r="I106" s="925">
        <v>6</v>
      </c>
      <c r="J106" s="925">
        <v>1</v>
      </c>
      <c r="K106" s="888">
        <v>1.5543314699999999</v>
      </c>
      <c r="L106" s="881"/>
      <c r="M106" s="819">
        <v>6</v>
      </c>
      <c r="N106" s="835">
        <v>213.96744000000001</v>
      </c>
      <c r="O106"/>
      <c r="P106" s="856" t="s">
        <v>476</v>
      </c>
      <c r="Q106" s="837">
        <v>1</v>
      </c>
      <c r="R106" s="869"/>
      <c r="S106" s="870"/>
      <c r="T106" s="850"/>
      <c r="U106" s="851"/>
      <c r="V106" s="814"/>
      <c r="W106" s="814"/>
    </row>
    <row r="107" spans="1:23">
      <c r="A107" s="794" t="s">
        <v>540</v>
      </c>
      <c r="B107" s="794" t="s">
        <v>541</v>
      </c>
      <c r="C107" s="834">
        <v>103</v>
      </c>
      <c r="D107" s="892">
        <v>6</v>
      </c>
      <c r="E107" s="828">
        <v>10.620000000000001</v>
      </c>
      <c r="F107" s="901">
        <v>10</v>
      </c>
      <c r="G107" s="822">
        <v>-0.50024493651285229</v>
      </c>
      <c r="H107" s="924">
        <v>7</v>
      </c>
      <c r="I107" s="813">
        <v>5.75</v>
      </c>
      <c r="J107" s="743">
        <v>1.25</v>
      </c>
      <c r="K107" s="888">
        <v>1.5543314699999999</v>
      </c>
      <c r="L107" s="881">
        <v>19</v>
      </c>
      <c r="M107" s="901">
        <v>25</v>
      </c>
      <c r="N107" s="835">
        <v>293.00340820000008</v>
      </c>
      <c r="O107"/>
      <c r="P107" s="909"/>
      <c r="Q107" s="855">
        <v>7</v>
      </c>
      <c r="R107" s="915"/>
      <c r="S107" s="916">
        <v>10</v>
      </c>
      <c r="T107" s="850"/>
      <c r="U107" s="851"/>
      <c r="V107"/>
      <c r="W107"/>
    </row>
    <row r="108" spans="1:23">
      <c r="A108" t="s">
        <v>548</v>
      </c>
      <c r="B108" t="s">
        <v>554</v>
      </c>
      <c r="C108" s="834">
        <v>104</v>
      </c>
      <c r="D108" s="892">
        <v>5</v>
      </c>
      <c r="E108" s="828">
        <v>0</v>
      </c>
      <c r="F108" s="901">
        <v>8</v>
      </c>
      <c r="G108" s="822">
        <v>0.5091</v>
      </c>
      <c r="H108" s="924">
        <v>7</v>
      </c>
      <c r="I108" s="892">
        <v>6</v>
      </c>
      <c r="J108" s="892">
        <v>1</v>
      </c>
      <c r="K108" s="888">
        <v>0</v>
      </c>
      <c r="L108" s="881">
        <v>19</v>
      </c>
      <c r="M108" s="901">
        <v>25</v>
      </c>
      <c r="N108" s="835">
        <v>213.96744000000001</v>
      </c>
      <c r="O108"/>
      <c r="P108" s="909"/>
      <c r="Q108" s="855">
        <v>8</v>
      </c>
      <c r="R108" s="915"/>
      <c r="S108" s="916">
        <v>9</v>
      </c>
      <c r="T108" s="850"/>
      <c r="U108" s="851"/>
      <c r="V108"/>
      <c r="W108"/>
    </row>
    <row r="109" spans="1:23">
      <c r="A109" t="s">
        <v>545</v>
      </c>
      <c r="B109" t="s">
        <v>550</v>
      </c>
      <c r="C109" s="834">
        <v>105</v>
      </c>
      <c r="D109" s="892">
        <v>5</v>
      </c>
      <c r="E109" s="828">
        <v>0</v>
      </c>
      <c r="F109" s="901">
        <v>8</v>
      </c>
      <c r="G109" s="822">
        <v>0.5091</v>
      </c>
      <c r="H109" s="881">
        <v>7.5</v>
      </c>
      <c r="I109" s="892">
        <v>6</v>
      </c>
      <c r="J109" s="892">
        <v>1.5</v>
      </c>
      <c r="K109" s="888">
        <v>0</v>
      </c>
      <c r="L109" s="881">
        <v>19</v>
      </c>
      <c r="M109" s="901">
        <v>25</v>
      </c>
      <c r="N109" s="835">
        <v>213.96744000000001</v>
      </c>
      <c r="O109"/>
      <c r="P109" s="909"/>
      <c r="Q109" s="855">
        <v>8</v>
      </c>
      <c r="R109" s="915"/>
      <c r="S109" s="916">
        <v>9</v>
      </c>
      <c r="T109" s="850"/>
      <c r="U109" s="851"/>
      <c r="V109"/>
      <c r="W109"/>
    </row>
    <row r="110" spans="1:23">
      <c r="A110" s="794" t="s">
        <v>549</v>
      </c>
      <c r="B110" t="s">
        <v>553</v>
      </c>
      <c r="C110" s="834">
        <v>106</v>
      </c>
      <c r="D110" s="892"/>
      <c r="E110" s="828">
        <v>0</v>
      </c>
      <c r="F110" s="901"/>
      <c r="G110" s="822">
        <v>0.5091</v>
      </c>
      <c r="H110" s="881">
        <v>6.5</v>
      </c>
      <c r="I110" s="892">
        <v>5.5</v>
      </c>
      <c r="J110" s="892">
        <v>1</v>
      </c>
      <c r="K110" s="888">
        <v>0</v>
      </c>
      <c r="L110" s="881">
        <v>19</v>
      </c>
      <c r="M110" s="901">
        <v>25</v>
      </c>
      <c r="N110" s="835">
        <v>213.96744000000001</v>
      </c>
      <c r="O110"/>
      <c r="P110" s="909"/>
      <c r="Q110" s="855"/>
      <c r="R110" s="915"/>
      <c r="S110" s="916">
        <v>10</v>
      </c>
      <c r="T110" s="850"/>
      <c r="U110" s="851"/>
      <c r="V110"/>
      <c r="W110"/>
    </row>
    <row r="111" spans="1:23">
      <c r="A111" s="1310" t="s">
        <v>1287</v>
      </c>
      <c r="B111" s="1310" t="s">
        <v>1291</v>
      </c>
      <c r="C111" s="834">
        <v>107</v>
      </c>
      <c r="D111" s="892"/>
      <c r="E111" s="828"/>
      <c r="F111" s="901"/>
      <c r="G111" s="822"/>
      <c r="H111" s="1256">
        <v>5.5</v>
      </c>
      <c r="I111" s="1279">
        <v>4.5</v>
      </c>
      <c r="J111" s="1279">
        <v>1</v>
      </c>
      <c r="K111" s="1308">
        <f t="shared" ref="K111:K114" si="12">(1.2627176*J111)+(0.29161387*J111*J111)</f>
        <v>1.5543314699999999</v>
      </c>
      <c r="L111" s="1307">
        <v>6</v>
      </c>
      <c r="M111" s="1305">
        <f t="shared" ref="M111:M114" si="13">L111+6</f>
        <v>12</v>
      </c>
      <c r="N111" s="1303">
        <f t="shared" ref="N111:N114" si="14">213.96744-39.579185*L111+2.3020512*L111*L111</f>
        <v>59.366173199999992</v>
      </c>
      <c r="O111"/>
      <c r="P111" s="909"/>
      <c r="Q111" s="855"/>
      <c r="R111" s="915"/>
      <c r="S111" s="916"/>
      <c r="T111" s="850"/>
      <c r="U111" s="851"/>
      <c r="V111"/>
      <c r="W111"/>
    </row>
    <row r="112" spans="1:23">
      <c r="A112" s="1310" t="s">
        <v>1288</v>
      </c>
      <c r="B112" s="1310" t="s">
        <v>1292</v>
      </c>
      <c r="C112" s="834">
        <v>108</v>
      </c>
      <c r="D112" s="892"/>
      <c r="E112" s="828"/>
      <c r="F112" s="901"/>
      <c r="G112" s="822"/>
      <c r="H112" s="1263">
        <v>7.5</v>
      </c>
      <c r="I112" s="1287">
        <v>5.5</v>
      </c>
      <c r="J112" s="1287">
        <v>2</v>
      </c>
      <c r="K112" s="1308">
        <f>(1.2627176*J112)+(0.29161387*J112*J112)</f>
        <v>3.6918906800000002</v>
      </c>
      <c r="L112" s="1307">
        <v>12</v>
      </c>
      <c r="M112" s="1305">
        <f t="shared" si="13"/>
        <v>18</v>
      </c>
      <c r="N112" s="1303">
        <f t="shared" si="14"/>
        <v>70.512592799999993</v>
      </c>
      <c r="O112"/>
      <c r="P112" s="909"/>
      <c r="Q112" s="855"/>
      <c r="R112" s="915"/>
      <c r="S112" s="916"/>
      <c r="T112" s="908"/>
      <c r="U112" s="910"/>
      <c r="V112"/>
      <c r="W112"/>
    </row>
    <row r="113" spans="1:21">
      <c r="A113" s="1310" t="s">
        <v>1289</v>
      </c>
      <c r="B113" s="1310" t="s">
        <v>1293</v>
      </c>
      <c r="C113" s="834">
        <v>109</v>
      </c>
      <c r="D113" s="892"/>
      <c r="E113" s="828"/>
      <c r="F113" s="901"/>
      <c r="G113" s="822"/>
      <c r="H113" s="1263">
        <v>6.5</v>
      </c>
      <c r="I113" s="1287">
        <v>5.5</v>
      </c>
      <c r="J113" s="1287">
        <v>1</v>
      </c>
      <c r="K113" s="1308">
        <f t="shared" ref="K113" si="15">(1.2627176*J113)+(0.29161387*J113*J113)</f>
        <v>1.5543314699999999</v>
      </c>
      <c r="L113" s="1307">
        <v>13</v>
      </c>
      <c r="M113" s="1305">
        <f t="shared" si="13"/>
        <v>19</v>
      </c>
      <c r="N113" s="1303">
        <f t="shared" si="14"/>
        <v>88.484687800000074</v>
      </c>
      <c r="O113"/>
      <c r="P113" s="909"/>
      <c r="Q113" s="855"/>
      <c r="R113" s="915"/>
      <c r="S113" s="916"/>
      <c r="T113" s="908"/>
      <c r="U113" s="910"/>
    </row>
    <row r="114" spans="1:21">
      <c r="A114" s="1310" t="s">
        <v>1290</v>
      </c>
      <c r="B114" s="1309" t="s">
        <v>588</v>
      </c>
      <c r="C114" s="834">
        <v>110</v>
      </c>
      <c r="D114" s="892"/>
      <c r="E114" s="828"/>
      <c r="F114" s="901"/>
      <c r="G114" s="822"/>
      <c r="H114" s="1263">
        <v>7</v>
      </c>
      <c r="I114" s="1287">
        <v>6</v>
      </c>
      <c r="J114" s="1287">
        <v>1</v>
      </c>
      <c r="K114" s="1308">
        <f t="shared" si="12"/>
        <v>1.5543314699999999</v>
      </c>
      <c r="L114" s="1307">
        <v>16</v>
      </c>
      <c r="M114" s="1305">
        <f t="shared" si="13"/>
        <v>22</v>
      </c>
      <c r="N114" s="1303">
        <f t="shared" si="14"/>
        <v>170.02558720000002</v>
      </c>
      <c r="O114"/>
      <c r="P114" s="909"/>
      <c r="Q114" s="855"/>
      <c r="R114" s="915"/>
      <c r="S114" s="916"/>
      <c r="T114" s="908"/>
      <c r="U114" s="910"/>
    </row>
    <row r="115" spans="1:21">
      <c r="C115" s="834">
        <v>111</v>
      </c>
      <c r="D115" s="892"/>
      <c r="E115" s="828">
        <v>0</v>
      </c>
      <c r="F115" s="901"/>
      <c r="G115" s="822">
        <v>0.5091</v>
      </c>
      <c r="H115" s="881"/>
      <c r="I115" s="892"/>
      <c r="J115" s="892"/>
      <c r="K115" s="888">
        <v>0</v>
      </c>
      <c r="L115" s="881"/>
      <c r="M115" s="901"/>
      <c r="N115" s="835">
        <v>213.96744000000001</v>
      </c>
      <c r="O115"/>
      <c r="P115" s="909"/>
      <c r="Q115" s="855"/>
      <c r="R115" s="915"/>
      <c r="S115" s="916"/>
      <c r="T115" s="908"/>
      <c r="U115" s="910"/>
    </row>
    <row r="116" spans="1:21">
      <c r="C116" s="834">
        <v>112</v>
      </c>
      <c r="D116" s="892"/>
      <c r="E116" s="828">
        <v>0</v>
      </c>
      <c r="F116" s="901"/>
      <c r="G116" s="822">
        <v>0.5091</v>
      </c>
      <c r="H116" s="881"/>
      <c r="I116" s="892"/>
      <c r="J116" s="892"/>
      <c r="K116" s="888">
        <v>0</v>
      </c>
      <c r="L116" s="881"/>
      <c r="M116" s="901"/>
      <c r="N116" s="835">
        <v>213.96744000000001</v>
      </c>
      <c r="O116"/>
      <c r="P116" s="909"/>
      <c r="Q116" s="855"/>
      <c r="R116" s="915"/>
      <c r="S116" s="916"/>
      <c r="T116" s="908"/>
      <c r="U116" s="910"/>
    </row>
    <row r="117" spans="1:21">
      <c r="C117" s="834">
        <v>113</v>
      </c>
      <c r="D117" s="892"/>
      <c r="E117" s="828">
        <v>0</v>
      </c>
      <c r="F117" s="901"/>
      <c r="G117" s="822">
        <v>0.5091</v>
      </c>
      <c r="H117" s="881"/>
      <c r="I117" s="892"/>
      <c r="J117" s="892"/>
      <c r="K117" s="888">
        <v>0</v>
      </c>
      <c r="L117" s="881"/>
      <c r="M117" s="901"/>
      <c r="N117" s="835">
        <v>213.96744000000001</v>
      </c>
      <c r="O117"/>
      <c r="P117" s="909"/>
      <c r="Q117" s="855"/>
      <c r="R117" s="915"/>
      <c r="S117" s="916"/>
      <c r="T117" s="908"/>
      <c r="U117" s="910"/>
    </row>
    <row r="118" spans="1:21">
      <c r="C118" s="834">
        <v>114</v>
      </c>
      <c r="D118" s="892"/>
      <c r="E118" s="828">
        <v>0</v>
      </c>
      <c r="F118" s="901"/>
      <c r="G118" s="822">
        <v>0.5091</v>
      </c>
      <c r="H118" s="881"/>
      <c r="I118" s="892"/>
      <c r="J118" s="892"/>
      <c r="K118" s="888">
        <v>0</v>
      </c>
      <c r="L118" s="881"/>
      <c r="M118" s="901"/>
      <c r="N118" s="835">
        <v>213.96744000000001</v>
      </c>
      <c r="O118"/>
      <c r="P118" s="909"/>
      <c r="Q118" s="855"/>
      <c r="R118" s="915"/>
      <c r="S118" s="916"/>
      <c r="T118" s="908"/>
      <c r="U118" s="910"/>
    </row>
    <row r="119" spans="1:21">
      <c r="C119" s="834">
        <v>115</v>
      </c>
      <c r="D119" s="892"/>
      <c r="E119" s="828">
        <v>0</v>
      </c>
      <c r="F119" s="897"/>
      <c r="G119" s="822">
        <v>0.5091</v>
      </c>
      <c r="H119" s="919"/>
      <c r="I119" s="892"/>
      <c r="J119" s="892"/>
      <c r="K119" s="888">
        <v>0</v>
      </c>
      <c r="L119" s="919"/>
      <c r="M119" s="897"/>
      <c r="N119" s="835">
        <v>213.96744000000001</v>
      </c>
      <c r="O119"/>
      <c r="P119" s="909"/>
      <c r="Q119" s="855"/>
      <c r="R119" s="915"/>
      <c r="S119" s="916"/>
      <c r="T119" s="908"/>
      <c r="U119" s="910"/>
    </row>
    <row r="120" spans="1:21">
      <c r="C120" s="834">
        <v>116</v>
      </c>
      <c r="D120" s="892"/>
      <c r="E120" s="828">
        <v>0</v>
      </c>
      <c r="F120" s="897"/>
      <c r="G120" s="822">
        <v>0.5091</v>
      </c>
      <c r="H120" s="919"/>
      <c r="I120" s="892"/>
      <c r="J120" s="892"/>
      <c r="K120" s="888">
        <v>0</v>
      </c>
      <c r="L120" s="919"/>
      <c r="M120" s="897"/>
      <c r="N120" s="835">
        <v>213.96744000000001</v>
      </c>
      <c r="O120"/>
      <c r="P120" s="909"/>
      <c r="Q120" s="855"/>
      <c r="R120" s="915"/>
      <c r="S120" s="916"/>
      <c r="T120" s="908"/>
      <c r="U120" s="910"/>
    </row>
    <row r="121" spans="1:21">
      <c r="C121" s="834">
        <v>117</v>
      </c>
      <c r="D121" s="892"/>
      <c r="E121" s="828">
        <v>0</v>
      </c>
      <c r="F121" s="897"/>
      <c r="G121" s="822">
        <v>0.5091</v>
      </c>
      <c r="H121" s="919"/>
      <c r="I121" s="892"/>
      <c r="J121" s="892"/>
      <c r="K121" s="888">
        <v>0</v>
      </c>
      <c r="L121" s="919"/>
      <c r="M121" s="897"/>
      <c r="N121" s="835">
        <v>213.96744000000001</v>
      </c>
      <c r="O121"/>
      <c r="P121" s="909"/>
      <c r="Q121" s="855"/>
      <c r="R121" s="915"/>
      <c r="S121" s="916"/>
      <c r="T121" s="908"/>
      <c r="U121" s="910"/>
    </row>
    <row r="122" spans="1:21">
      <c r="C122" s="834">
        <v>118</v>
      </c>
      <c r="D122" s="892"/>
      <c r="E122" s="828">
        <v>0</v>
      </c>
      <c r="F122" s="897"/>
      <c r="G122" s="822">
        <v>0.5091</v>
      </c>
      <c r="H122" s="919"/>
      <c r="I122" s="892"/>
      <c r="J122" s="892"/>
      <c r="K122" s="888">
        <v>0</v>
      </c>
      <c r="L122" s="919"/>
      <c r="M122" s="897"/>
      <c r="N122" s="835">
        <v>213.96744000000001</v>
      </c>
      <c r="O122"/>
      <c r="P122" s="909"/>
      <c r="Q122" s="855"/>
      <c r="R122" s="915"/>
      <c r="S122" s="916"/>
      <c r="T122" s="908"/>
      <c r="U122" s="910"/>
    </row>
    <row r="123" spans="1:21">
      <c r="C123" s="834">
        <v>119</v>
      </c>
      <c r="D123" s="892"/>
      <c r="E123" s="828">
        <v>0</v>
      </c>
      <c r="F123" s="897"/>
      <c r="G123" s="822">
        <v>0.5091</v>
      </c>
      <c r="H123" s="919"/>
      <c r="I123" s="892"/>
      <c r="J123" s="892"/>
      <c r="K123" s="888">
        <v>0</v>
      </c>
      <c r="L123" s="919"/>
      <c r="M123" s="897"/>
      <c r="N123" s="835">
        <v>213.96744000000001</v>
      </c>
      <c r="O123"/>
      <c r="P123" s="909"/>
      <c r="Q123" s="855"/>
      <c r="R123" s="915"/>
      <c r="S123" s="916"/>
      <c r="T123" s="908"/>
      <c r="U123" s="910"/>
    </row>
    <row r="124" spans="1:21">
      <c r="C124" s="834">
        <v>120</v>
      </c>
      <c r="D124" s="892"/>
      <c r="E124" s="828">
        <v>0</v>
      </c>
      <c r="F124" s="897"/>
      <c r="G124" s="822">
        <v>0.5091</v>
      </c>
      <c r="H124" s="919"/>
      <c r="I124" s="892"/>
      <c r="J124" s="892"/>
      <c r="K124" s="888">
        <v>0</v>
      </c>
      <c r="L124" s="919"/>
      <c r="M124" s="897"/>
      <c r="N124" s="835">
        <v>213.96744000000001</v>
      </c>
      <c r="O124"/>
      <c r="P124" s="909"/>
      <c r="Q124" s="855"/>
      <c r="R124" s="915"/>
      <c r="S124" s="916"/>
      <c r="T124" s="908"/>
      <c r="U124" s="910"/>
    </row>
    <row r="125" spans="1:21">
      <c r="C125" s="834">
        <v>121</v>
      </c>
      <c r="D125" s="892"/>
      <c r="E125" s="828">
        <v>0</v>
      </c>
      <c r="F125" s="897"/>
      <c r="G125" s="822">
        <v>0.5091</v>
      </c>
      <c r="H125" s="919"/>
      <c r="I125" s="892"/>
      <c r="J125" s="892"/>
      <c r="K125" s="888">
        <v>0</v>
      </c>
      <c r="L125" s="919"/>
      <c r="M125" s="897"/>
      <c r="N125" s="835">
        <v>213.96744000000001</v>
      </c>
      <c r="O125"/>
      <c r="P125" s="909"/>
      <c r="Q125" s="855"/>
      <c r="R125" s="915"/>
      <c r="S125" s="916"/>
      <c r="T125" s="908"/>
      <c r="U125" s="910"/>
    </row>
    <row r="126" spans="1:21">
      <c r="C126" s="834">
        <v>122</v>
      </c>
      <c r="D126" s="892"/>
      <c r="E126" s="828">
        <v>0</v>
      </c>
      <c r="F126" s="897"/>
      <c r="G126" s="822">
        <v>0.5091</v>
      </c>
      <c r="H126" s="919"/>
      <c r="I126" s="892"/>
      <c r="J126" s="892"/>
      <c r="K126" s="888">
        <v>0</v>
      </c>
      <c r="L126" s="919"/>
      <c r="M126" s="897"/>
      <c r="N126" s="835">
        <v>213.96744000000001</v>
      </c>
      <c r="O126"/>
      <c r="P126" s="909"/>
      <c r="Q126" s="855"/>
      <c r="R126" s="915"/>
      <c r="S126" s="916"/>
      <c r="T126" s="908"/>
      <c r="U126" s="910"/>
    </row>
    <row r="127" spans="1:21">
      <c r="C127" s="834">
        <v>123</v>
      </c>
      <c r="D127" s="892"/>
      <c r="E127" s="828">
        <v>0</v>
      </c>
      <c r="F127" s="897"/>
      <c r="G127" s="822">
        <v>0.5091</v>
      </c>
      <c r="H127" s="919"/>
      <c r="I127" s="892"/>
      <c r="J127" s="892"/>
      <c r="K127" s="888">
        <v>0</v>
      </c>
      <c r="L127" s="919"/>
      <c r="M127" s="897"/>
      <c r="N127" s="835">
        <v>213.96744000000001</v>
      </c>
      <c r="O127"/>
      <c r="P127" s="909"/>
      <c r="Q127" s="855"/>
      <c r="R127" s="915"/>
      <c r="S127" s="916"/>
      <c r="T127" s="908"/>
      <c r="U127" s="910"/>
    </row>
    <row r="128" spans="1:21">
      <c r="C128" s="834">
        <v>124</v>
      </c>
      <c r="D128" s="892"/>
      <c r="E128" s="828">
        <v>0</v>
      </c>
      <c r="F128" s="897"/>
      <c r="G128" s="822">
        <v>0.5091</v>
      </c>
      <c r="H128" s="919"/>
      <c r="I128" s="892"/>
      <c r="J128" s="892"/>
      <c r="K128" s="888">
        <v>0</v>
      </c>
      <c r="L128" s="919"/>
      <c r="M128" s="897"/>
      <c r="N128" s="835">
        <v>213.96744000000001</v>
      </c>
      <c r="O128"/>
      <c r="P128" s="909"/>
      <c r="Q128" s="855"/>
      <c r="R128" s="915"/>
      <c r="S128" s="916"/>
      <c r="T128" s="908"/>
      <c r="U128" s="910"/>
    </row>
    <row r="129" spans="1:21">
      <c r="C129" s="834">
        <v>125</v>
      </c>
      <c r="D129" s="892"/>
      <c r="E129" s="828">
        <v>0</v>
      </c>
      <c r="F129" s="897"/>
      <c r="G129" s="822">
        <v>0.5091</v>
      </c>
      <c r="H129" s="919"/>
      <c r="I129" s="892"/>
      <c r="J129" s="892"/>
      <c r="K129" s="888">
        <v>0</v>
      </c>
      <c r="L129" s="919"/>
      <c r="M129" s="897"/>
      <c r="N129" s="835">
        <v>213.96744000000001</v>
      </c>
      <c r="O129"/>
      <c r="P129" s="909"/>
      <c r="Q129" s="855"/>
      <c r="R129" s="915"/>
      <c r="S129" s="916"/>
      <c r="T129" s="908"/>
      <c r="U129" s="910"/>
    </row>
    <row r="130" spans="1:21" ht="17" thickBot="1">
      <c r="C130" s="904">
        <v>126</v>
      </c>
      <c r="D130" s="903"/>
      <c r="E130" s="905">
        <v>0</v>
      </c>
      <c r="F130" s="806"/>
      <c r="G130" s="906">
        <v>0.5091</v>
      </c>
      <c r="H130" s="920"/>
      <c r="I130" s="903"/>
      <c r="J130" s="903"/>
      <c r="K130" s="922">
        <v>0</v>
      </c>
      <c r="L130" s="920"/>
      <c r="M130" s="806"/>
      <c r="N130" s="907">
        <v>213.96744000000001</v>
      </c>
      <c r="O130"/>
      <c r="P130" s="911"/>
      <c r="Q130" s="912"/>
      <c r="R130" s="917"/>
      <c r="S130" s="918"/>
      <c r="T130" s="913"/>
      <c r="U130" s="914"/>
    </row>
    <row r="134" spans="1:21">
      <c r="C134" s="794"/>
      <c r="D134"/>
      <c r="E134"/>
      <c r="F134"/>
      <c r="G134"/>
      <c r="H134"/>
      <c r="I134"/>
      <c r="J134"/>
      <c r="K134"/>
      <c r="L134"/>
      <c r="M134"/>
      <c r="N134"/>
      <c r="O134"/>
      <c r="P134"/>
      <c r="Q134"/>
      <c r="R134"/>
      <c r="S134"/>
      <c r="T134"/>
      <c r="U134"/>
    </row>
    <row r="135" spans="1:21">
      <c r="C135" s="794"/>
      <c r="D135"/>
      <c r="E135"/>
      <c r="F135"/>
      <c r="H135"/>
      <c r="I135"/>
      <c r="J135"/>
      <c r="K135"/>
      <c r="L135"/>
      <c r="M135"/>
      <c r="N135"/>
      <c r="O135"/>
      <c r="P135" s="795">
        <v>1</v>
      </c>
      <c r="Q135" s="794" t="s">
        <v>324</v>
      </c>
      <c r="R135" s="794"/>
      <c r="S135" s="794"/>
      <c r="T135"/>
      <c r="U135"/>
    </row>
    <row r="136" spans="1:21">
      <c r="C136" s="794"/>
      <c r="D136"/>
      <c r="E136"/>
      <c r="F136"/>
      <c r="G136"/>
      <c r="H136"/>
      <c r="I136"/>
      <c r="J136"/>
      <c r="K136"/>
      <c r="L136"/>
      <c r="M136"/>
      <c r="N136"/>
      <c r="O136"/>
      <c r="P136" s="795">
        <v>2</v>
      </c>
      <c r="Q136" s="900" t="s">
        <v>315</v>
      </c>
      <c r="R136" s="900"/>
      <c r="S136" s="900"/>
      <c r="T136"/>
      <c r="U136"/>
    </row>
    <row r="137" spans="1:21">
      <c r="C137" s="794"/>
      <c r="D137"/>
      <c r="E137"/>
      <c r="F137"/>
      <c r="G137"/>
      <c r="H137"/>
      <c r="I137"/>
      <c r="J137"/>
      <c r="K137"/>
      <c r="L137"/>
      <c r="M137"/>
      <c r="N137"/>
      <c r="O137"/>
      <c r="P137" s="795">
        <v>3</v>
      </c>
      <c r="Q137" s="898" t="s">
        <v>506</v>
      </c>
      <c r="R137" s="898"/>
      <c r="S137" s="898"/>
      <c r="T137"/>
      <c r="U137"/>
    </row>
    <row r="138" spans="1:21">
      <c r="C138" s="794"/>
      <c r="D138"/>
      <c r="E138"/>
      <c r="F138"/>
      <c r="G138"/>
      <c r="H138"/>
      <c r="I138"/>
      <c r="J138"/>
      <c r="K138"/>
      <c r="L138"/>
      <c r="M138"/>
      <c r="N138"/>
      <c r="O138"/>
      <c r="P138" s="795">
        <v>4</v>
      </c>
      <c r="Q138" s="898" t="s">
        <v>515</v>
      </c>
      <c r="R138" s="823"/>
      <c r="S138" s="823"/>
      <c r="T138"/>
      <c r="U138"/>
    </row>
    <row r="139" spans="1:21">
      <c r="C139" s="794"/>
      <c r="D139"/>
      <c r="E139"/>
      <c r="F139"/>
      <c r="G139"/>
      <c r="H139"/>
      <c r="I139"/>
      <c r="J139"/>
      <c r="K139"/>
      <c r="L139"/>
      <c r="M139"/>
      <c r="N139"/>
      <c r="O139"/>
      <c r="P139" s="795">
        <v>5</v>
      </c>
      <c r="Q139" s="794" t="s">
        <v>398</v>
      </c>
      <c r="R139" s="794"/>
      <c r="S139" s="794"/>
      <c r="T139"/>
      <c r="U139"/>
    </row>
    <row r="140" spans="1:21">
      <c r="C140" s="794"/>
      <c r="D140"/>
      <c r="E140"/>
      <c r="F140"/>
      <c r="G140"/>
      <c r="H140"/>
      <c r="I140"/>
      <c r="J140"/>
      <c r="K140"/>
      <c r="L140"/>
      <c r="M140"/>
      <c r="N140"/>
      <c r="O140"/>
      <c r="P140" s="795">
        <v>6</v>
      </c>
      <c r="Q140" s="898" t="s">
        <v>524</v>
      </c>
      <c r="R140"/>
      <c r="S140"/>
      <c r="T140"/>
      <c r="U140"/>
    </row>
    <row r="141" spans="1:21" customFormat="1">
      <c r="C141" s="794"/>
      <c r="P141" s="795">
        <v>7</v>
      </c>
      <c r="Q141" s="898" t="s">
        <v>542</v>
      </c>
    </row>
    <row r="142" spans="1:21" customFormat="1">
      <c r="C142" s="794"/>
      <c r="P142" s="795">
        <v>8</v>
      </c>
      <c r="Q142" s="898" t="s">
        <v>546</v>
      </c>
    </row>
    <row r="143" spans="1:21" customFormat="1">
      <c r="C143" s="794"/>
      <c r="P143" s="795">
        <v>9</v>
      </c>
      <c r="Q143" s="898" t="s">
        <v>547</v>
      </c>
    </row>
    <row r="144" spans="1:21" customFormat="1">
      <c r="A144" s="794"/>
      <c r="B144" s="796"/>
      <c r="C144" s="794"/>
      <c r="P144" s="795">
        <v>10</v>
      </c>
      <c r="Q144" s="926" t="s">
        <v>551</v>
      </c>
    </row>
    <row r="145" spans="1:21" customFormat="1">
      <c r="A145" s="794"/>
      <c r="B145" s="796"/>
      <c r="C145" s="794"/>
      <c r="P145" s="795"/>
      <c r="Q145" s="794" t="s">
        <v>552</v>
      </c>
      <c r="R145" s="795"/>
      <c r="S145" s="795"/>
      <c r="T145" s="795"/>
      <c r="U145" s="794"/>
    </row>
    <row r="146" spans="1:21" customFormat="1">
      <c r="A146" s="794"/>
      <c r="B146" s="796"/>
      <c r="C146" s="794"/>
      <c r="P146" s="795">
        <v>11</v>
      </c>
      <c r="Q146" s="795"/>
      <c r="R146" s="795"/>
      <c r="S146" s="795"/>
      <c r="T146" s="795"/>
      <c r="U146" s="794"/>
    </row>
    <row r="147" spans="1:21" customFormat="1">
      <c r="A147" s="794"/>
      <c r="B147" s="796"/>
      <c r="C147" s="794"/>
      <c r="P147" s="795">
        <v>12</v>
      </c>
      <c r="Q147" s="795"/>
      <c r="R147" s="795"/>
      <c r="S147" s="795"/>
      <c r="T147" s="795"/>
      <c r="U147" s="794"/>
    </row>
    <row r="148" spans="1:21" customFormat="1">
      <c r="A148" s="794"/>
      <c r="B148" s="796"/>
      <c r="C148" s="794"/>
      <c r="P148" s="795">
        <v>13</v>
      </c>
      <c r="Q148" s="795"/>
      <c r="R148" s="795"/>
      <c r="S148" s="795"/>
      <c r="T148" s="795"/>
      <c r="U148" s="794"/>
    </row>
    <row r="149" spans="1:21" customFormat="1">
      <c r="A149" s="794"/>
      <c r="B149" s="796"/>
      <c r="C149" s="794"/>
      <c r="P149" s="795">
        <v>14</v>
      </c>
      <c r="Q149" s="795"/>
      <c r="R149" s="795"/>
      <c r="S149" s="795"/>
      <c r="T149" s="795"/>
      <c r="U149" s="794"/>
    </row>
    <row r="150" spans="1:21" customFormat="1">
      <c r="A150" s="794"/>
      <c r="B150" s="796"/>
      <c r="C150" s="794"/>
      <c r="P150" s="795">
        <v>15</v>
      </c>
      <c r="Q150" s="795"/>
      <c r="R150" s="795"/>
      <c r="S150" s="795"/>
      <c r="T150" s="795"/>
      <c r="U150" s="794"/>
    </row>
    <row r="151" spans="1:21">
      <c r="P151" s="795">
        <v>16</v>
      </c>
    </row>
  </sheetData>
  <mergeCells count="9">
    <mergeCell ref="P3:Q3"/>
    <mergeCell ref="C2:G2"/>
    <mergeCell ref="T3:U3"/>
    <mergeCell ref="R3:S3"/>
    <mergeCell ref="I1:J1"/>
    <mergeCell ref="L3:N3"/>
    <mergeCell ref="D3:G3"/>
    <mergeCell ref="H3:K3"/>
    <mergeCell ref="L2:N2"/>
  </mergeCells>
  <phoneticPr fontId="132" type="noConversion"/>
  <hyperlinks>
    <hyperlink ref="Q137" r:id="rId1"/>
    <hyperlink ref="Q136" r:id="rId2"/>
    <hyperlink ref="Q140" r:id="rId3"/>
    <hyperlink ref="Q141" r:id="rId4"/>
    <hyperlink ref="Q144" r:id="rId5"/>
  </hyperlinks>
  <pageMargins left="0.7" right="0.7" top="0.75" bottom="0.75" header="0.3" footer="0.3"/>
  <pageSetup orientation="portrait" horizontalDpi="0" verticalDpi="0"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B1:U117"/>
  <sheetViews>
    <sheetView topLeftCell="A19" workbookViewId="0">
      <selection activeCell="H102" sqref="H102"/>
    </sheetView>
  </sheetViews>
  <sheetFormatPr defaultColWidth="9.09765625" defaultRowHeight="12.5"/>
  <cols>
    <col min="1" max="1" width="2.296875" style="7" customWidth="1"/>
    <col min="2" max="2" width="21.69921875" style="7" customWidth="1"/>
    <col min="3" max="6" width="13.3984375" style="7" customWidth="1"/>
    <col min="7" max="7" width="14.296875" style="7" customWidth="1"/>
    <col min="8" max="8" width="19" customWidth="1"/>
    <col min="9" max="9" width="7" customWidth="1"/>
    <col min="10" max="10" width="16.8984375" customWidth="1"/>
    <col min="11" max="11" width="9.09765625" customWidth="1"/>
    <col min="12" max="12" width="11.59765625" customWidth="1"/>
    <col min="13" max="14" width="9.09765625" customWidth="1"/>
    <col min="15" max="15" width="8.09765625" style="539" customWidth="1"/>
    <col min="16" max="16" width="9.09765625" customWidth="1"/>
    <col min="17" max="16384" width="9.09765625" style="7"/>
  </cols>
  <sheetData>
    <row r="1" spans="2:16" ht="13.5" thickBot="1">
      <c r="B1" s="6"/>
      <c r="H1" s="64" t="s">
        <v>264</v>
      </c>
    </row>
    <row r="2" spans="2:16" ht="13.5" thickTop="1">
      <c r="B2" s="40" t="s">
        <v>825</v>
      </c>
      <c r="C2" s="11"/>
      <c r="D2" s="11"/>
      <c r="E2" s="12"/>
      <c r="F2" s="6"/>
      <c r="L2" s="934" t="s">
        <v>293</v>
      </c>
      <c r="M2" s="935"/>
    </row>
    <row r="3" spans="2:16" ht="13">
      <c r="B3" s="41" t="s">
        <v>953</v>
      </c>
      <c r="C3" s="8" t="s">
        <v>954</v>
      </c>
      <c r="D3" s="8" t="s">
        <v>955</v>
      </c>
      <c r="E3" s="42" t="s">
        <v>956</v>
      </c>
      <c r="F3" s="6"/>
      <c r="L3" s="936"/>
      <c r="M3" s="1330" t="s">
        <v>825</v>
      </c>
    </row>
    <row r="4" spans="2:16" ht="13">
      <c r="B4" s="41" t="s">
        <v>959</v>
      </c>
      <c r="C4" s="8" t="s">
        <v>959</v>
      </c>
      <c r="D4" s="8" t="s">
        <v>959</v>
      </c>
      <c r="E4" s="42" t="s">
        <v>959</v>
      </c>
      <c r="L4" s="936" t="s">
        <v>555</v>
      </c>
      <c r="M4" s="1330"/>
    </row>
    <row r="5" spans="2:16">
      <c r="B5" s="927" t="s">
        <v>1035</v>
      </c>
      <c r="C5" s="928" t="s">
        <v>961</v>
      </c>
      <c r="D5" s="928" t="s">
        <v>962</v>
      </c>
      <c r="E5" s="929" t="s">
        <v>963</v>
      </c>
      <c r="L5" s="937" t="s">
        <v>1035</v>
      </c>
      <c r="M5" s="938">
        <v>1</v>
      </c>
    </row>
    <row r="6" spans="2:16" s="637" customFormat="1">
      <c r="B6" s="927" t="s">
        <v>964</v>
      </c>
      <c r="C6" s="928" t="s">
        <v>965</v>
      </c>
      <c r="D6" s="928" t="s">
        <v>966</v>
      </c>
      <c r="E6" s="929" t="s">
        <v>967</v>
      </c>
      <c r="H6" s="4"/>
      <c r="I6" s="4"/>
      <c r="J6" s="4"/>
      <c r="K6" s="4"/>
      <c r="L6" s="937" t="s">
        <v>961</v>
      </c>
      <c r="M6" s="951">
        <v>2</v>
      </c>
      <c r="N6" s="4"/>
      <c r="O6" s="933"/>
      <c r="P6" s="4"/>
    </row>
    <row r="7" spans="2:16" s="637" customFormat="1">
      <c r="B7" s="927" t="s">
        <v>969</v>
      </c>
      <c r="C7" s="928" t="s">
        <v>970</v>
      </c>
      <c r="D7" s="928" t="s">
        <v>971</v>
      </c>
      <c r="E7" s="955" t="s">
        <v>972</v>
      </c>
      <c r="H7" s="4"/>
      <c r="I7" s="4"/>
      <c r="J7" s="4"/>
      <c r="K7" s="4"/>
      <c r="L7" s="952" t="s">
        <v>962</v>
      </c>
      <c r="M7" s="953">
        <v>3</v>
      </c>
      <c r="N7" s="4"/>
      <c r="O7" s="933"/>
      <c r="P7" s="4"/>
    </row>
    <row r="8" spans="2:16" s="637" customFormat="1">
      <c r="B8" s="927" t="s">
        <v>974</v>
      </c>
      <c r="C8" s="928" t="s">
        <v>975</v>
      </c>
      <c r="D8" s="928" t="s">
        <v>976</v>
      </c>
      <c r="E8" s="929" t="s">
        <v>977</v>
      </c>
      <c r="H8" s="4"/>
      <c r="I8" s="4"/>
      <c r="J8" s="4"/>
      <c r="K8" s="4"/>
      <c r="L8" s="952" t="s">
        <v>966</v>
      </c>
      <c r="M8" s="953">
        <v>3</v>
      </c>
      <c r="N8" s="4"/>
      <c r="O8" s="933"/>
      <c r="P8" s="4"/>
    </row>
    <row r="9" spans="2:16" s="637" customFormat="1">
      <c r="B9" s="927" t="s">
        <v>979</v>
      </c>
      <c r="C9" s="928" t="s">
        <v>980</v>
      </c>
      <c r="D9" s="928" t="s">
        <v>981</v>
      </c>
      <c r="E9" s="929" t="s">
        <v>762</v>
      </c>
      <c r="H9" s="4"/>
      <c r="I9" s="4"/>
      <c r="J9" s="4"/>
      <c r="K9" s="4"/>
      <c r="L9" s="952" t="s">
        <v>971</v>
      </c>
      <c r="M9" s="953">
        <v>3</v>
      </c>
      <c r="N9" s="4"/>
      <c r="O9" s="933"/>
      <c r="P9" s="4"/>
    </row>
    <row r="10" spans="2:16" s="637" customFormat="1">
      <c r="B10" s="927" t="s">
        <v>764</v>
      </c>
      <c r="C10" s="928" t="s">
        <v>765</v>
      </c>
      <c r="D10" s="928" t="s">
        <v>766</v>
      </c>
      <c r="E10" s="929" t="s">
        <v>767</v>
      </c>
      <c r="H10" s="4"/>
      <c r="I10" s="4"/>
      <c r="J10" s="4"/>
      <c r="K10" s="4"/>
      <c r="L10" s="954" t="s">
        <v>976</v>
      </c>
      <c r="M10" s="953">
        <v>3</v>
      </c>
      <c r="N10" s="4"/>
      <c r="O10" s="933"/>
      <c r="P10" s="4"/>
    </row>
    <row r="11" spans="2:16" s="637" customFormat="1">
      <c r="B11" s="927" t="s">
        <v>769</v>
      </c>
      <c r="C11" s="928" t="s">
        <v>770</v>
      </c>
      <c r="D11" s="928" t="s">
        <v>771</v>
      </c>
      <c r="E11" s="955" t="s">
        <v>772</v>
      </c>
      <c r="H11" s="4"/>
      <c r="I11" s="4"/>
      <c r="J11" s="4"/>
      <c r="K11" s="4"/>
      <c r="L11" s="937" t="s">
        <v>965</v>
      </c>
      <c r="M11" s="951">
        <v>2</v>
      </c>
      <c r="N11" s="4"/>
      <c r="O11" s="933"/>
      <c r="P11" s="4"/>
    </row>
    <row r="12" spans="2:16" s="637" customFormat="1">
      <c r="B12" s="927" t="s">
        <v>773</v>
      </c>
      <c r="C12" s="928" t="s">
        <v>774</v>
      </c>
      <c r="D12" s="928" t="s">
        <v>775</v>
      </c>
      <c r="E12" s="929" t="s">
        <v>776</v>
      </c>
      <c r="H12" s="4"/>
      <c r="I12" s="4"/>
      <c r="J12" s="4"/>
      <c r="K12" s="4"/>
      <c r="L12" s="937" t="s">
        <v>970</v>
      </c>
      <c r="M12" s="951">
        <v>2</v>
      </c>
      <c r="N12" s="4"/>
      <c r="O12" s="933"/>
      <c r="P12" s="4"/>
    </row>
    <row r="13" spans="2:16" s="637" customFormat="1">
      <c r="B13" s="927" t="s">
        <v>777</v>
      </c>
      <c r="C13" s="928" t="s">
        <v>778</v>
      </c>
      <c r="D13" s="928" t="s">
        <v>779</v>
      </c>
      <c r="E13" s="929" t="s">
        <v>780</v>
      </c>
      <c r="H13" s="4"/>
      <c r="I13" s="4"/>
      <c r="J13" s="4"/>
      <c r="K13" s="4"/>
      <c r="L13" s="937" t="s">
        <v>964</v>
      </c>
      <c r="M13" s="951">
        <v>1</v>
      </c>
      <c r="N13" s="4"/>
      <c r="O13" s="933"/>
      <c r="P13" s="4"/>
    </row>
    <row r="14" spans="2:16" s="637" customFormat="1">
      <c r="B14" s="927"/>
      <c r="C14" s="928" t="s">
        <v>781</v>
      </c>
      <c r="D14" s="928" t="s">
        <v>782</v>
      </c>
      <c r="E14" s="929" t="s">
        <v>783</v>
      </c>
      <c r="H14" s="4"/>
      <c r="I14" s="4"/>
      <c r="J14" s="4"/>
      <c r="K14" s="4"/>
      <c r="L14" s="937" t="s">
        <v>975</v>
      </c>
      <c r="M14" s="951">
        <v>2</v>
      </c>
      <c r="N14" s="4"/>
      <c r="O14" s="933"/>
      <c r="P14" s="4"/>
    </row>
    <row r="15" spans="2:16" s="637" customFormat="1">
      <c r="B15" s="927"/>
      <c r="C15" s="928" t="s">
        <v>785</v>
      </c>
      <c r="D15" s="928" t="s">
        <v>786</v>
      </c>
      <c r="E15" s="929" t="s">
        <v>787</v>
      </c>
      <c r="G15" s="4"/>
      <c r="H15" s="4"/>
      <c r="I15" s="4"/>
      <c r="J15" s="4"/>
      <c r="K15" s="4"/>
      <c r="L15" s="937" t="s">
        <v>969</v>
      </c>
      <c r="M15" s="951">
        <v>1</v>
      </c>
      <c r="N15" s="4"/>
      <c r="O15" s="933"/>
      <c r="P15" s="4"/>
    </row>
    <row r="16" spans="2:16" s="637" customFormat="1">
      <c r="B16" s="927"/>
      <c r="C16" s="928" t="s">
        <v>789</v>
      </c>
      <c r="D16" s="928" t="s">
        <v>790</v>
      </c>
      <c r="E16" s="929" t="s">
        <v>791</v>
      </c>
      <c r="G16" s="4"/>
      <c r="H16" s="4"/>
      <c r="I16" s="4"/>
      <c r="J16" s="4"/>
      <c r="K16" s="4"/>
      <c r="L16" s="937" t="s">
        <v>980</v>
      </c>
      <c r="M16" s="951">
        <v>2</v>
      </c>
      <c r="N16" s="4"/>
      <c r="O16" s="933"/>
    </row>
    <row r="17" spans="2:16" s="637" customFormat="1">
      <c r="B17" s="927"/>
      <c r="C17" s="928" t="s">
        <v>792</v>
      </c>
      <c r="D17" s="928" t="s">
        <v>793</v>
      </c>
      <c r="E17" s="929" t="s">
        <v>794</v>
      </c>
      <c r="G17" s="4"/>
      <c r="H17" s="4"/>
      <c r="I17" s="4"/>
      <c r="J17" s="4"/>
      <c r="K17" s="4"/>
      <c r="L17" s="937" t="s">
        <v>963</v>
      </c>
      <c r="M17" s="951">
        <v>4</v>
      </c>
      <c r="N17" s="4"/>
      <c r="O17" s="933"/>
    </row>
    <row r="18" spans="2:16" s="637" customFormat="1">
      <c r="B18" s="927"/>
      <c r="C18" s="928" t="s">
        <v>795</v>
      </c>
      <c r="D18" s="928" t="s">
        <v>920</v>
      </c>
      <c r="E18" s="929" t="s">
        <v>796</v>
      </c>
      <c r="G18" s="4"/>
      <c r="H18" s="4"/>
      <c r="I18" s="4"/>
      <c r="J18" s="4"/>
      <c r="K18" s="4"/>
      <c r="L18" s="937" t="s">
        <v>967</v>
      </c>
      <c r="M18" s="951">
        <v>4</v>
      </c>
      <c r="N18" s="4"/>
      <c r="O18" s="933"/>
    </row>
    <row r="19" spans="2:16" s="637" customFormat="1">
      <c r="B19" s="927"/>
      <c r="C19" s="928" t="s">
        <v>296</v>
      </c>
      <c r="D19" s="928"/>
      <c r="E19" s="929" t="s">
        <v>798</v>
      </c>
      <c r="F19" s="540"/>
      <c r="G19" s="4"/>
      <c r="H19" s="4"/>
      <c r="I19" s="4"/>
      <c r="J19" s="4"/>
      <c r="K19" s="4"/>
      <c r="L19" s="954" t="s">
        <v>981</v>
      </c>
      <c r="M19" s="953">
        <v>3</v>
      </c>
      <c r="N19" s="4"/>
      <c r="O19" s="933"/>
    </row>
    <row r="20" spans="2:16" s="637" customFormat="1">
      <c r="B20" s="927"/>
      <c r="C20" s="928" t="s">
        <v>797</v>
      </c>
      <c r="D20" s="928"/>
      <c r="E20" s="929" t="s">
        <v>801</v>
      </c>
      <c r="F20" s="540"/>
      <c r="G20" s="4"/>
      <c r="H20" s="4"/>
      <c r="I20" s="4"/>
      <c r="J20" s="4"/>
      <c r="K20" s="4"/>
      <c r="L20" s="937" t="s">
        <v>765</v>
      </c>
      <c r="M20" s="951">
        <v>2</v>
      </c>
      <c r="N20" s="4"/>
      <c r="O20" s="933"/>
    </row>
    <row r="21" spans="2:16" s="637" customFormat="1">
      <c r="B21" s="927"/>
      <c r="C21" s="928" t="s">
        <v>800</v>
      </c>
      <c r="D21" s="928"/>
      <c r="E21" s="929" t="s">
        <v>803</v>
      </c>
      <c r="F21" s="540"/>
      <c r="G21" s="4"/>
      <c r="H21" s="4"/>
      <c r="I21" s="4"/>
      <c r="J21" s="4"/>
      <c r="K21" s="4"/>
      <c r="L21" s="937" t="s">
        <v>972</v>
      </c>
      <c r="M21" s="951">
        <v>4</v>
      </c>
      <c r="N21" s="4"/>
      <c r="O21" s="933"/>
    </row>
    <row r="22" spans="2:16" s="637" customFormat="1">
      <c r="B22" s="927"/>
      <c r="C22" s="928" t="s">
        <v>802</v>
      </c>
      <c r="D22" s="928"/>
      <c r="E22" s="929" t="s">
        <v>804</v>
      </c>
      <c r="F22" s="540"/>
      <c r="G22" s="4"/>
      <c r="H22" s="4"/>
      <c r="I22" s="4"/>
      <c r="J22" s="4"/>
      <c r="K22" s="4"/>
      <c r="L22" s="937" t="s">
        <v>977</v>
      </c>
      <c r="M22" s="951">
        <v>4</v>
      </c>
      <c r="N22" s="4"/>
      <c r="O22" s="933"/>
    </row>
    <row r="23" spans="2:16" s="637" customFormat="1">
      <c r="B23" s="927"/>
      <c r="C23" s="928"/>
      <c r="D23" s="928"/>
      <c r="E23" s="929" t="s">
        <v>806</v>
      </c>
      <c r="F23" s="540"/>
      <c r="G23" s="4"/>
      <c r="H23" s="4"/>
      <c r="I23" s="4"/>
      <c r="J23" s="4"/>
      <c r="K23" s="4"/>
      <c r="L23" s="954" t="s">
        <v>766</v>
      </c>
      <c r="M23" s="953">
        <v>3</v>
      </c>
      <c r="N23" s="4"/>
      <c r="O23" s="933"/>
    </row>
    <row r="24" spans="2:16" s="637" customFormat="1">
      <c r="B24" s="927"/>
      <c r="C24" s="928"/>
      <c r="D24" s="928"/>
      <c r="E24" s="929" t="s">
        <v>810</v>
      </c>
      <c r="F24" s="540"/>
      <c r="G24" s="4"/>
      <c r="H24" s="4"/>
      <c r="I24" s="4"/>
      <c r="J24" s="4"/>
      <c r="K24" s="4"/>
      <c r="L24" s="954" t="s">
        <v>771</v>
      </c>
      <c r="M24" s="953">
        <v>3</v>
      </c>
      <c r="N24" s="4"/>
      <c r="O24" s="933"/>
    </row>
    <row r="25" spans="2:16" s="637" customFormat="1">
      <c r="B25" s="927"/>
      <c r="C25" s="928"/>
      <c r="D25" s="928"/>
      <c r="E25" s="929" t="s">
        <v>812</v>
      </c>
      <c r="F25" s="540"/>
      <c r="G25" s="4"/>
      <c r="H25" s="4"/>
      <c r="I25" s="4"/>
      <c r="J25" s="4"/>
      <c r="K25" s="4"/>
      <c r="L25" s="937" t="s">
        <v>762</v>
      </c>
      <c r="M25" s="951">
        <v>4</v>
      </c>
      <c r="N25" s="4"/>
      <c r="O25" s="933"/>
    </row>
    <row r="26" spans="2:16" s="637" customFormat="1">
      <c r="B26" s="927"/>
      <c r="C26" s="928"/>
      <c r="D26" s="928"/>
      <c r="E26" s="929" t="s">
        <v>815</v>
      </c>
      <c r="F26" s="540"/>
      <c r="G26" s="4"/>
      <c r="H26" s="4"/>
      <c r="I26" s="4"/>
      <c r="J26" s="4"/>
      <c r="K26" s="4"/>
      <c r="L26" s="954" t="s">
        <v>775</v>
      </c>
      <c r="M26" s="953">
        <v>3</v>
      </c>
      <c r="N26" s="4"/>
      <c r="O26" s="933"/>
    </row>
    <row r="27" spans="2:16" ht="13" thickBot="1">
      <c r="B27" s="927"/>
      <c r="C27" s="928"/>
      <c r="D27" s="928"/>
      <c r="E27" s="929" t="s">
        <v>816</v>
      </c>
      <c r="F27" s="6"/>
      <c r="G27"/>
      <c r="L27" s="937" t="s">
        <v>767</v>
      </c>
      <c r="M27" s="938">
        <v>4</v>
      </c>
      <c r="P27" s="7"/>
    </row>
    <row r="28" spans="2:16" ht="13" thickTop="1">
      <c r="B28" s="927"/>
      <c r="C28" s="928"/>
      <c r="D28" s="928"/>
      <c r="E28" s="929" t="s">
        <v>817</v>
      </c>
      <c r="F28" s="6"/>
      <c r="G28"/>
      <c r="H28" s="942" t="s">
        <v>293</v>
      </c>
      <c r="I28" s="943"/>
      <c r="L28" s="936" t="s">
        <v>779</v>
      </c>
      <c r="M28" s="939">
        <v>3</v>
      </c>
      <c r="P28" s="7"/>
    </row>
    <row r="29" spans="2:16">
      <c r="B29" s="927"/>
      <c r="C29" s="928"/>
      <c r="D29" s="928"/>
      <c r="E29" s="929" t="s">
        <v>818</v>
      </c>
      <c r="F29" s="6"/>
      <c r="G29"/>
      <c r="H29" s="944"/>
      <c r="I29" s="945"/>
      <c r="L29" s="937" t="s">
        <v>770</v>
      </c>
      <c r="M29" s="938">
        <v>2</v>
      </c>
      <c r="P29" s="7"/>
    </row>
    <row r="30" spans="2:16">
      <c r="B30" s="927"/>
      <c r="C30" s="928"/>
      <c r="D30" s="928"/>
      <c r="E30" s="929" t="s">
        <v>819</v>
      </c>
      <c r="F30" s="6"/>
      <c r="G30"/>
      <c r="H30" s="944" t="s">
        <v>292</v>
      </c>
      <c r="I30" s="945" t="s">
        <v>291</v>
      </c>
      <c r="J30" t="s">
        <v>300</v>
      </c>
      <c r="L30" s="937" t="s">
        <v>772</v>
      </c>
      <c r="M30" s="938">
        <v>4</v>
      </c>
      <c r="P30" s="7"/>
    </row>
    <row r="31" spans="2:16">
      <c r="B31" s="927"/>
      <c r="C31" s="928"/>
      <c r="D31" s="928"/>
      <c r="E31" s="929" t="s">
        <v>820</v>
      </c>
      <c r="F31" s="6"/>
      <c r="G31"/>
      <c r="H31" s="944" t="s">
        <v>431</v>
      </c>
      <c r="I31" s="946">
        <v>1</v>
      </c>
      <c r="L31" s="937" t="s">
        <v>974</v>
      </c>
      <c r="M31" s="938">
        <v>1</v>
      </c>
      <c r="P31" s="7"/>
    </row>
    <row r="32" spans="2:16">
      <c r="B32" s="927"/>
      <c r="C32" s="928"/>
      <c r="D32" s="928"/>
      <c r="E32" s="929" t="s">
        <v>1036</v>
      </c>
      <c r="F32" s="6"/>
      <c r="G32"/>
      <c r="H32" s="944" t="s">
        <v>432</v>
      </c>
      <c r="I32" s="946">
        <v>1</v>
      </c>
      <c r="L32" s="937" t="s">
        <v>776</v>
      </c>
      <c r="M32" s="938">
        <v>4</v>
      </c>
      <c r="P32" s="7"/>
    </row>
    <row r="33" spans="2:16">
      <c r="B33" s="927"/>
      <c r="C33" s="928"/>
      <c r="D33" s="928"/>
      <c r="E33" s="929" t="s">
        <v>821</v>
      </c>
      <c r="F33" s="6"/>
      <c r="G33"/>
      <c r="H33" s="944" t="s">
        <v>433</v>
      </c>
      <c r="I33" s="946">
        <v>2</v>
      </c>
      <c r="J33" s="542" t="s">
        <v>301</v>
      </c>
      <c r="L33" s="937" t="s">
        <v>979</v>
      </c>
      <c r="M33" s="938">
        <v>1</v>
      </c>
      <c r="P33" s="7"/>
    </row>
    <row r="34" spans="2:16">
      <c r="B34" s="927"/>
      <c r="C34" s="928"/>
      <c r="D34" s="928"/>
      <c r="E34" s="929" t="s">
        <v>822</v>
      </c>
      <c r="F34" s="6"/>
      <c r="G34"/>
      <c r="H34" s="944" t="s">
        <v>434</v>
      </c>
      <c r="I34" s="946">
        <v>2</v>
      </c>
      <c r="L34" s="937" t="s">
        <v>780</v>
      </c>
      <c r="M34" s="938">
        <v>4</v>
      </c>
      <c r="P34" s="7"/>
    </row>
    <row r="35" spans="2:16" ht="13" thickBot="1">
      <c r="B35" s="930"/>
      <c r="C35" s="931"/>
      <c r="D35" s="931"/>
      <c r="E35" s="932" t="s">
        <v>823</v>
      </c>
      <c r="F35" s="6"/>
      <c r="G35"/>
      <c r="H35" s="944" t="s">
        <v>430</v>
      </c>
      <c r="I35" s="946">
        <v>2</v>
      </c>
      <c r="L35" s="937" t="s">
        <v>764</v>
      </c>
      <c r="M35" s="938">
        <v>1</v>
      </c>
      <c r="P35" s="7"/>
    </row>
    <row r="36" spans="2:16" ht="13" thickBot="1">
      <c r="G36" s="6"/>
      <c r="H36" s="944" t="s">
        <v>435</v>
      </c>
      <c r="I36" s="946">
        <v>3</v>
      </c>
      <c r="L36" s="937" t="s">
        <v>769</v>
      </c>
      <c r="M36" s="938">
        <v>1</v>
      </c>
      <c r="P36" s="7"/>
    </row>
    <row r="37" spans="2:16">
      <c r="B37" s="25" t="s">
        <v>826</v>
      </c>
      <c r="C37" s="11"/>
      <c r="D37" s="11"/>
      <c r="E37" s="11"/>
      <c r="F37" s="12"/>
      <c r="G37" s="6"/>
      <c r="H37" s="944" t="s">
        <v>436</v>
      </c>
      <c r="I37" s="946">
        <v>3</v>
      </c>
      <c r="L37" s="937" t="s">
        <v>774</v>
      </c>
      <c r="M37" s="938">
        <v>2</v>
      </c>
    </row>
    <row r="38" spans="2:16" ht="13">
      <c r="B38" s="26" t="s">
        <v>927</v>
      </c>
      <c r="C38" s="6"/>
      <c r="D38" s="8" t="s">
        <v>928</v>
      </c>
      <c r="E38" s="6"/>
      <c r="F38" s="14"/>
      <c r="G38" s="6"/>
      <c r="H38" s="944" t="s">
        <v>437</v>
      </c>
      <c r="I38" s="946">
        <v>4</v>
      </c>
      <c r="L38" s="937" t="s">
        <v>778</v>
      </c>
      <c r="M38" s="938">
        <v>2</v>
      </c>
    </row>
    <row r="39" spans="2:16">
      <c r="B39" s="122" t="s">
        <v>1114</v>
      </c>
      <c r="C39" s="6"/>
      <c r="D39" s="6"/>
      <c r="E39" s="6"/>
      <c r="F39" s="14"/>
      <c r="G39" s="6"/>
      <c r="H39" s="944" t="s">
        <v>438</v>
      </c>
      <c r="I39" s="946">
        <v>4</v>
      </c>
      <c r="L39" s="937" t="s">
        <v>783</v>
      </c>
      <c r="M39" s="938">
        <v>4</v>
      </c>
    </row>
    <row r="40" spans="2:16">
      <c r="B40" s="27" t="s">
        <v>929</v>
      </c>
      <c r="C40" s="6"/>
      <c r="D40" s="6"/>
      <c r="E40" s="6"/>
      <c r="F40" s="14"/>
      <c r="G40" s="6"/>
      <c r="H40" s="944" t="s">
        <v>439</v>
      </c>
      <c r="I40" s="946">
        <v>4</v>
      </c>
      <c r="L40" s="954" t="s">
        <v>782</v>
      </c>
      <c r="M40" s="939">
        <v>3</v>
      </c>
    </row>
    <row r="41" spans="2:16">
      <c r="B41" s="122" t="s">
        <v>1113</v>
      </c>
      <c r="C41" s="6"/>
      <c r="D41" s="6"/>
      <c r="E41" s="6"/>
      <c r="F41" s="14"/>
      <c r="G41" s="6"/>
      <c r="H41" s="944" t="s">
        <v>440</v>
      </c>
      <c r="I41" s="946">
        <v>4</v>
      </c>
      <c r="L41" s="937" t="s">
        <v>787</v>
      </c>
      <c r="M41" s="938">
        <v>4</v>
      </c>
    </row>
    <row r="42" spans="2:16" ht="13" thickBot="1">
      <c r="B42" s="122" t="s">
        <v>1112</v>
      </c>
      <c r="C42" s="6"/>
      <c r="D42" s="6"/>
      <c r="E42" s="6"/>
      <c r="F42" s="14"/>
      <c r="G42" s="6"/>
      <c r="H42" s="947" t="s">
        <v>441</v>
      </c>
      <c r="I42" s="948">
        <v>4</v>
      </c>
      <c r="J42" t="s">
        <v>295</v>
      </c>
      <c r="L42" s="937" t="s">
        <v>791</v>
      </c>
      <c r="M42" s="938">
        <v>4</v>
      </c>
    </row>
    <row r="43" spans="2:16" ht="13.5" thickTop="1" thickBot="1">
      <c r="B43" s="28"/>
      <c r="C43" s="17"/>
      <c r="D43" s="17"/>
      <c r="E43" s="17" t="s">
        <v>930</v>
      </c>
      <c r="F43" s="18"/>
      <c r="G43" s="6"/>
      <c r="I43" s="539"/>
      <c r="L43" s="937" t="s">
        <v>794</v>
      </c>
      <c r="M43" s="938">
        <v>4</v>
      </c>
    </row>
    <row r="44" spans="2:16" ht="13" thickBot="1">
      <c r="C44" s="6"/>
      <c r="G44" s="6"/>
      <c r="L44" s="937" t="s">
        <v>796</v>
      </c>
      <c r="M44" s="938">
        <v>4</v>
      </c>
    </row>
    <row r="45" spans="2:16">
      <c r="B45" s="25" t="s">
        <v>1018</v>
      </c>
      <c r="C45" s="11"/>
      <c r="D45" s="12"/>
      <c r="E45" s="6"/>
      <c r="G45" s="96" t="s">
        <v>1067</v>
      </c>
      <c r="L45" s="937" t="s">
        <v>798</v>
      </c>
      <c r="M45" s="938">
        <v>4</v>
      </c>
    </row>
    <row r="46" spans="2:16">
      <c r="B46" s="30" t="s">
        <v>931</v>
      </c>
      <c r="C46" s="5"/>
      <c r="D46" s="31" t="s">
        <v>1019</v>
      </c>
      <c r="E46" s="6"/>
      <c r="G46" s="62" t="s">
        <v>116</v>
      </c>
      <c r="L46" s="937" t="s">
        <v>801</v>
      </c>
      <c r="M46" s="938">
        <v>4</v>
      </c>
    </row>
    <row r="47" spans="2:16">
      <c r="B47" s="525" t="s">
        <v>932</v>
      </c>
      <c r="C47" s="522"/>
      <c r="D47" s="524">
        <v>1</v>
      </c>
      <c r="E47" s="6" t="s">
        <v>172</v>
      </c>
      <c r="G47" s="62" t="s">
        <v>117</v>
      </c>
      <c r="L47" s="937" t="s">
        <v>781</v>
      </c>
      <c r="M47" s="938">
        <v>2</v>
      </c>
    </row>
    <row r="48" spans="2:16">
      <c r="B48" s="21" t="s">
        <v>934</v>
      </c>
      <c r="C48" s="6"/>
      <c r="D48" s="22">
        <v>2</v>
      </c>
      <c r="E48" s="6"/>
      <c r="G48" s="62" t="s">
        <v>1070</v>
      </c>
      <c r="L48" s="937" t="s">
        <v>803</v>
      </c>
      <c r="M48" s="938">
        <v>4</v>
      </c>
    </row>
    <row r="49" spans="2:13">
      <c r="B49" s="21" t="s">
        <v>936</v>
      </c>
      <c r="C49" s="6"/>
      <c r="D49" s="22">
        <v>3</v>
      </c>
      <c r="E49" s="6"/>
      <c r="G49" s="62" t="s">
        <v>1071</v>
      </c>
      <c r="L49" s="937" t="s">
        <v>773</v>
      </c>
      <c r="M49" s="938">
        <v>1</v>
      </c>
    </row>
    <row r="50" spans="2:13" ht="13" thickBot="1">
      <c r="B50" s="15" t="s">
        <v>938</v>
      </c>
      <c r="C50" s="17"/>
      <c r="D50" s="23">
        <v>4</v>
      </c>
      <c r="E50" s="6"/>
      <c r="G50" s="62" t="s">
        <v>1072</v>
      </c>
      <c r="L50" s="937" t="s">
        <v>804</v>
      </c>
      <c r="M50" s="938">
        <v>4</v>
      </c>
    </row>
    <row r="51" spans="2:13" ht="13" thickBot="1">
      <c r="B51" s="9"/>
      <c r="C51" s="6"/>
      <c r="D51" s="9"/>
      <c r="E51" s="6"/>
      <c r="G51" s="62" t="s">
        <v>118</v>
      </c>
      <c r="L51" s="937" t="s">
        <v>806</v>
      </c>
      <c r="M51" s="938">
        <v>4</v>
      </c>
    </row>
    <row r="52" spans="2:13" ht="13">
      <c r="B52" s="43" t="s">
        <v>1023</v>
      </c>
      <c r="C52" s="44" t="s">
        <v>1019</v>
      </c>
      <c r="D52" s="9"/>
      <c r="E52" s="6"/>
      <c r="G52" s="62" t="s">
        <v>1170</v>
      </c>
      <c r="L52" s="937" t="s">
        <v>810</v>
      </c>
      <c r="M52" s="938">
        <v>4</v>
      </c>
    </row>
    <row r="53" spans="2:13">
      <c r="B53" s="45" t="s">
        <v>1024</v>
      </c>
      <c r="C53" s="46">
        <v>1</v>
      </c>
      <c r="D53" s="9"/>
      <c r="E53" s="6"/>
      <c r="G53" s="62" t="s">
        <v>1171</v>
      </c>
      <c r="L53" s="937" t="s">
        <v>812</v>
      </c>
      <c r="M53" s="938">
        <v>4</v>
      </c>
    </row>
    <row r="54" spans="2:13" ht="13" thickBot="1">
      <c r="B54" s="47" t="s">
        <v>1025</v>
      </c>
      <c r="C54" s="48">
        <v>2</v>
      </c>
      <c r="D54" s="9"/>
      <c r="E54" s="6"/>
      <c r="G54" s="62" t="s">
        <v>1172</v>
      </c>
      <c r="L54" s="937" t="s">
        <v>777</v>
      </c>
      <c r="M54" s="938">
        <v>1</v>
      </c>
    </row>
    <row r="55" spans="2:13" ht="13" thickBot="1">
      <c r="G55" s="62" t="s">
        <v>119</v>
      </c>
      <c r="L55" s="954" t="s">
        <v>786</v>
      </c>
      <c r="M55" s="939">
        <v>3</v>
      </c>
    </row>
    <row r="56" spans="2:13">
      <c r="B56" s="32" t="s">
        <v>1020</v>
      </c>
      <c r="C56" s="11"/>
      <c r="D56" s="11"/>
      <c r="E56" s="12"/>
      <c r="G56" s="62" t="s">
        <v>1173</v>
      </c>
      <c r="L56" s="937" t="s">
        <v>785</v>
      </c>
      <c r="M56" s="938">
        <v>2</v>
      </c>
    </row>
    <row r="57" spans="2:13">
      <c r="B57" s="13" t="s">
        <v>941</v>
      </c>
      <c r="C57" s="9">
        <v>1</v>
      </c>
      <c r="D57" s="6" t="s">
        <v>942</v>
      </c>
      <c r="E57" s="14"/>
      <c r="G57" s="62" t="s">
        <v>1174</v>
      </c>
      <c r="L57" s="937" t="s">
        <v>815</v>
      </c>
      <c r="M57" s="938">
        <v>4</v>
      </c>
    </row>
    <row r="58" spans="2:13">
      <c r="B58" s="13" t="s">
        <v>944</v>
      </c>
      <c r="C58" s="9">
        <v>2</v>
      </c>
      <c r="D58" s="6" t="s">
        <v>945</v>
      </c>
      <c r="E58" s="14"/>
      <c r="G58" s="62" t="s">
        <v>1175</v>
      </c>
      <c r="L58" s="937" t="s">
        <v>789</v>
      </c>
      <c r="M58" s="938">
        <v>2</v>
      </c>
    </row>
    <row r="59" spans="2:13">
      <c r="B59" s="13" t="s">
        <v>947</v>
      </c>
      <c r="C59" s="9">
        <v>3</v>
      </c>
      <c r="D59" s="6" t="s">
        <v>948</v>
      </c>
      <c r="E59" s="14"/>
      <c r="L59" s="937" t="s">
        <v>792</v>
      </c>
      <c r="M59" s="938">
        <v>2</v>
      </c>
    </row>
    <row r="60" spans="2:13" ht="13" thickBot="1">
      <c r="B60" s="15" t="s">
        <v>949</v>
      </c>
      <c r="C60" s="16">
        <v>4</v>
      </c>
      <c r="D60" s="17" t="s">
        <v>950</v>
      </c>
      <c r="E60" s="18"/>
      <c r="F60" s="6"/>
      <c r="G60" s="6"/>
      <c r="L60" s="937" t="s">
        <v>816</v>
      </c>
      <c r="M60" s="938">
        <v>4</v>
      </c>
    </row>
    <row r="61" spans="2:13" ht="13" thickBot="1">
      <c r="C61" s="6"/>
      <c r="D61" s="6"/>
      <c r="F61" s="6"/>
      <c r="G61" s="29"/>
      <c r="L61" s="937" t="s">
        <v>817</v>
      </c>
      <c r="M61" s="938">
        <v>4</v>
      </c>
    </row>
    <row r="62" spans="2:13">
      <c r="B62" s="10" t="s">
        <v>940</v>
      </c>
      <c r="C62" s="12"/>
      <c r="D62" s="9"/>
      <c r="L62" s="954" t="s">
        <v>790</v>
      </c>
      <c r="M62" s="939">
        <v>3</v>
      </c>
    </row>
    <row r="63" spans="2:13">
      <c r="B63" s="33" t="s">
        <v>943</v>
      </c>
      <c r="C63" s="22">
        <v>1</v>
      </c>
      <c r="D63" s="9"/>
      <c r="L63" s="937" t="s">
        <v>795</v>
      </c>
      <c r="M63" s="938">
        <v>2</v>
      </c>
    </row>
    <row r="64" spans="2:13">
      <c r="B64" s="33" t="s">
        <v>946</v>
      </c>
      <c r="C64" s="22">
        <v>2</v>
      </c>
      <c r="D64" s="9"/>
      <c r="L64" s="937" t="s">
        <v>818</v>
      </c>
      <c r="M64" s="938">
        <v>4</v>
      </c>
    </row>
    <row r="65" spans="2:21" ht="13.5" thickBot="1">
      <c r="B65" s="34" t="s">
        <v>921</v>
      </c>
      <c r="C65" s="23">
        <v>3</v>
      </c>
      <c r="D65" s="9"/>
      <c r="L65" s="937" t="s">
        <v>296</v>
      </c>
      <c r="M65" s="938">
        <v>2</v>
      </c>
    </row>
    <row r="66" spans="2:21" ht="13" thickBot="1">
      <c r="B66" s="9"/>
      <c r="C66" s="6"/>
      <c r="D66" s="6"/>
      <c r="L66" s="937" t="s">
        <v>797</v>
      </c>
      <c r="M66" s="938">
        <v>2</v>
      </c>
    </row>
    <row r="67" spans="2:21">
      <c r="B67" s="19" t="s">
        <v>1029</v>
      </c>
      <c r="C67" s="20"/>
      <c r="D67" s="6"/>
      <c r="L67" s="937" t="s">
        <v>819</v>
      </c>
      <c r="M67" s="938">
        <v>4</v>
      </c>
    </row>
    <row r="68" spans="2:21">
      <c r="B68" s="35" t="s">
        <v>1251</v>
      </c>
      <c r="C68" s="22">
        <v>1</v>
      </c>
      <c r="D68" s="6"/>
      <c r="L68" s="937" t="s">
        <v>820</v>
      </c>
      <c r="M68" s="938">
        <v>4</v>
      </c>
    </row>
    <row r="69" spans="2:21" ht="13" thickBot="1">
      <c r="B69" s="36" t="s">
        <v>1252</v>
      </c>
      <c r="C69" s="23">
        <v>2</v>
      </c>
      <c r="D69" s="6"/>
      <c r="E69" s="6"/>
      <c r="F69" s="6"/>
      <c r="G69" s="6"/>
      <c r="L69" s="954" t="s">
        <v>793</v>
      </c>
      <c r="M69" s="939">
        <v>3</v>
      </c>
    </row>
    <row r="70" spans="2:21" ht="13.5" thickBot="1">
      <c r="B70" s="8"/>
      <c r="C70" s="8"/>
      <c r="D70" s="797" t="s">
        <v>461</v>
      </c>
      <c r="E70" s="798"/>
      <c r="F70" s="798"/>
      <c r="G70" s="949"/>
      <c r="L70" s="954" t="s">
        <v>920</v>
      </c>
      <c r="M70" s="939">
        <v>3</v>
      </c>
    </row>
    <row r="71" spans="2:21" ht="13">
      <c r="B71" s="10" t="s">
        <v>952</v>
      </c>
      <c r="C71" s="12"/>
      <c r="D71" s="24"/>
      <c r="E71" s="480" t="s">
        <v>1021</v>
      </c>
      <c r="F71" s="6"/>
      <c r="G71" s="479"/>
      <c r="H71" s="6"/>
      <c r="L71" s="937" t="s">
        <v>1036</v>
      </c>
      <c r="M71" s="938">
        <v>4</v>
      </c>
    </row>
    <row r="72" spans="2:21" ht="13">
      <c r="B72" s="21" t="s">
        <v>611</v>
      </c>
      <c r="C72" s="22">
        <v>1</v>
      </c>
      <c r="D72" s="24"/>
      <c r="E72" s="6"/>
      <c r="F72" s="6"/>
      <c r="G72" s="479"/>
      <c r="H72" s="6"/>
      <c r="L72" s="937" t="s">
        <v>822</v>
      </c>
      <c r="M72" s="938">
        <v>4</v>
      </c>
    </row>
    <row r="73" spans="2:21" ht="13">
      <c r="B73" s="525" t="s">
        <v>1033</v>
      </c>
      <c r="C73" s="524">
        <v>2</v>
      </c>
      <c r="D73" s="24"/>
      <c r="E73" s="482" t="s">
        <v>1022</v>
      </c>
      <c r="F73"/>
      <c r="G73"/>
      <c r="L73" s="937" t="s">
        <v>821</v>
      </c>
      <c r="M73" s="938">
        <v>4</v>
      </c>
      <c r="Q73"/>
      <c r="R73"/>
      <c r="T73"/>
      <c r="U73"/>
    </row>
    <row r="74" spans="2:21" ht="13">
      <c r="B74" s="633" t="s">
        <v>1032</v>
      </c>
      <c r="C74" s="634">
        <v>3</v>
      </c>
      <c r="D74" s="24"/>
      <c r="E74" s="7" t="s">
        <v>957</v>
      </c>
      <c r="F74" s="7" t="s">
        <v>303</v>
      </c>
      <c r="G74" s="545" t="s">
        <v>958</v>
      </c>
      <c r="H74" s="545" t="s">
        <v>204</v>
      </c>
      <c r="I74" s="545" t="s">
        <v>205</v>
      </c>
      <c r="J74" s="545" t="s">
        <v>206</v>
      </c>
      <c r="L74" s="937" t="s">
        <v>800</v>
      </c>
      <c r="M74" s="938">
        <v>2</v>
      </c>
      <c r="T74"/>
      <c r="U74"/>
    </row>
    <row r="75" spans="2:21" ht="13">
      <c r="B75" s="525" t="s">
        <v>402</v>
      </c>
      <c r="C75" s="524">
        <v>4</v>
      </c>
      <c r="D75" s="24"/>
      <c r="E75" s="545">
        <v>1</v>
      </c>
      <c r="F75" s="7" t="s">
        <v>960</v>
      </c>
      <c r="G75" s="546">
        <v>6.35</v>
      </c>
      <c r="H75" s="546">
        <v>2.0499999999999998</v>
      </c>
      <c r="I75" s="546">
        <v>7.7</v>
      </c>
      <c r="J75" s="544">
        <v>5.2</v>
      </c>
      <c r="L75" s="937" t="s">
        <v>802</v>
      </c>
      <c r="M75" s="938">
        <v>2</v>
      </c>
      <c r="P75" s="7"/>
    </row>
    <row r="76" spans="2:21" ht="13.5" thickBot="1">
      <c r="B76" s="633" t="s">
        <v>1037</v>
      </c>
      <c r="C76" s="634">
        <v>5</v>
      </c>
      <c r="D76" s="24"/>
      <c r="E76" s="545">
        <v>2</v>
      </c>
      <c r="F76" s="7" t="s">
        <v>1033</v>
      </c>
      <c r="G76" s="546">
        <v>6.3</v>
      </c>
      <c r="H76" s="546">
        <v>2</v>
      </c>
      <c r="I76" s="546">
        <v>2.5</v>
      </c>
      <c r="J76" s="544">
        <v>10</v>
      </c>
      <c r="L76" s="940" t="s">
        <v>823</v>
      </c>
      <c r="M76" s="941">
        <v>4</v>
      </c>
    </row>
    <row r="77" spans="2:21" ht="13.5" thickTop="1">
      <c r="B77" s="633" t="s">
        <v>1038</v>
      </c>
      <c r="C77" s="634">
        <v>6</v>
      </c>
      <c r="D77" s="24"/>
      <c r="E77" s="545">
        <v>3</v>
      </c>
      <c r="F77" s="7" t="s">
        <v>968</v>
      </c>
      <c r="G77" s="546">
        <v>6.4</v>
      </c>
      <c r="H77" s="546">
        <v>1.9</v>
      </c>
      <c r="I77" s="546">
        <v>2</v>
      </c>
      <c r="J77" s="544">
        <v>10</v>
      </c>
      <c r="L77" s="4"/>
      <c r="M77" s="635"/>
      <c r="N77" s="636"/>
      <c r="O77" s="933"/>
    </row>
    <row r="78" spans="2:21" ht="13">
      <c r="B78" s="525" t="s">
        <v>1034</v>
      </c>
      <c r="C78" s="524">
        <v>7</v>
      </c>
      <c r="D78" s="24"/>
      <c r="E78" s="545">
        <v>4</v>
      </c>
      <c r="F78" s="7" t="s">
        <v>973</v>
      </c>
      <c r="G78" s="546">
        <v>6.25</v>
      </c>
      <c r="H78" s="546">
        <v>1.95</v>
      </c>
      <c r="I78" s="546">
        <v>2</v>
      </c>
      <c r="J78" s="544">
        <v>10</v>
      </c>
      <c r="L78" s="4"/>
      <c r="M78" s="635"/>
      <c r="N78" s="636"/>
      <c r="O78" s="933"/>
    </row>
    <row r="79" spans="2:21" ht="13">
      <c r="B79" s="547" t="s">
        <v>720</v>
      </c>
      <c r="C79" s="524">
        <v>8</v>
      </c>
      <c r="D79" s="24"/>
      <c r="E79" s="545">
        <v>5</v>
      </c>
      <c r="F79" s="7" t="s">
        <v>978</v>
      </c>
      <c r="G79" s="546">
        <v>6.1</v>
      </c>
      <c r="H79" s="546">
        <v>0.65</v>
      </c>
      <c r="I79" s="546">
        <v>3</v>
      </c>
      <c r="J79" s="544">
        <v>10</v>
      </c>
      <c r="L79" s="4"/>
      <c r="M79" s="4"/>
      <c r="N79" s="4"/>
      <c r="O79" s="933"/>
    </row>
    <row r="80" spans="2:21" ht="13">
      <c r="B80" s="547" t="s">
        <v>383</v>
      </c>
      <c r="C80" s="524">
        <v>9</v>
      </c>
      <c r="D80" s="24"/>
      <c r="E80" s="545">
        <v>6</v>
      </c>
      <c r="F80" s="7" t="s">
        <v>763</v>
      </c>
      <c r="G80" s="546">
        <v>6.5</v>
      </c>
      <c r="H80" s="546">
        <v>2.5</v>
      </c>
      <c r="I80" s="546">
        <v>2.5</v>
      </c>
      <c r="J80" s="544">
        <v>9.9</v>
      </c>
      <c r="L80" s="4"/>
      <c r="M80" s="4"/>
      <c r="N80" s="4"/>
      <c r="O80" s="933"/>
    </row>
    <row r="81" spans="2:15" ht="13">
      <c r="B81" s="643" t="s">
        <v>385</v>
      </c>
      <c r="C81" s="644">
        <v>10</v>
      </c>
      <c r="D81" s="24"/>
      <c r="E81" s="545">
        <v>7</v>
      </c>
      <c r="F81" s="7" t="s">
        <v>269</v>
      </c>
      <c r="G81" s="546">
        <v>6.35</v>
      </c>
      <c r="H81" s="115">
        <v>1.5</v>
      </c>
      <c r="L81" s="4"/>
      <c r="M81" s="4"/>
      <c r="N81" s="4"/>
      <c r="O81" s="933"/>
    </row>
    <row r="82" spans="2:15" ht="13">
      <c r="B82" s="643" t="s">
        <v>384</v>
      </c>
      <c r="C82" s="644">
        <v>11</v>
      </c>
      <c r="D82" s="24"/>
      <c r="E82" s="545"/>
      <c r="F82" s="7" t="s">
        <v>596</v>
      </c>
      <c r="G82" s="546">
        <v>6.2</v>
      </c>
      <c r="H82" s="115">
        <v>2</v>
      </c>
      <c r="I82" s="6"/>
      <c r="L82" s="4"/>
      <c r="M82" s="4"/>
      <c r="N82" s="4"/>
      <c r="O82" s="933"/>
    </row>
    <row r="83" spans="2:15" ht="13">
      <c r="B83" s="645" t="s">
        <v>386</v>
      </c>
      <c r="C83" s="646">
        <v>12</v>
      </c>
      <c r="D83" s="24"/>
      <c r="E83" s="545"/>
      <c r="F83" s="7" t="s">
        <v>270</v>
      </c>
      <c r="I83" s="6"/>
      <c r="L83" s="4"/>
      <c r="M83" s="4"/>
      <c r="N83" s="4"/>
      <c r="O83" s="933"/>
    </row>
    <row r="84" spans="2:15" ht="13">
      <c r="B84" s="638" t="s">
        <v>302</v>
      </c>
      <c r="C84" s="639">
        <v>13</v>
      </c>
      <c r="D84" s="24"/>
      <c r="E84" s="545"/>
      <c r="F84" s="7" t="s">
        <v>271</v>
      </c>
      <c r="L84" s="4"/>
      <c r="M84" s="4"/>
      <c r="N84" s="4"/>
      <c r="O84" s="933"/>
    </row>
    <row r="85" spans="2:15" ht="13">
      <c r="B85" s="683" t="s">
        <v>960</v>
      </c>
      <c r="C85" s="644">
        <v>14</v>
      </c>
      <c r="D85" s="24"/>
      <c r="E85" s="545"/>
      <c r="F85"/>
      <c r="G85"/>
      <c r="I85" s="7"/>
      <c r="J85" s="7"/>
      <c r="M85" s="4"/>
      <c r="N85" s="4"/>
      <c r="O85" s="933"/>
    </row>
    <row r="86" spans="2:15" ht="13">
      <c r="B86" s="640" t="s">
        <v>365</v>
      </c>
      <c r="C86" s="639">
        <v>15</v>
      </c>
      <c r="D86" s="24"/>
      <c r="E86" s="545"/>
      <c r="F86"/>
      <c r="G86"/>
    </row>
    <row r="87" spans="2:15" ht="13">
      <c r="B87" s="640" t="s">
        <v>369</v>
      </c>
      <c r="C87" s="639">
        <v>16</v>
      </c>
      <c r="D87" s="24"/>
      <c r="E87" s="545"/>
      <c r="F87"/>
      <c r="G87"/>
      <c r="H87" s="7"/>
      <c r="I87" s="7"/>
      <c r="J87" s="7"/>
    </row>
    <row r="88" spans="2:15" ht="13">
      <c r="B88" s="640" t="s">
        <v>348</v>
      </c>
      <c r="C88" s="639">
        <v>17</v>
      </c>
      <c r="D88" s="641" t="s">
        <v>387</v>
      </c>
      <c r="E88" s="642"/>
      <c r="F88" s="576"/>
      <c r="G88"/>
      <c r="I88" s="7"/>
      <c r="J88" s="7"/>
    </row>
    <row r="89" spans="2:15" ht="13.5" thickBot="1">
      <c r="B89" s="28" t="s">
        <v>921</v>
      </c>
      <c r="C89" s="18"/>
      <c r="D89" s="24"/>
      <c r="E89"/>
      <c r="F89"/>
      <c r="G89"/>
      <c r="I89" s="7"/>
      <c r="J89" s="7"/>
    </row>
    <row r="90" spans="2:15" ht="13">
      <c r="B90" s="6"/>
      <c r="C90" s="6"/>
      <c r="D90" s="24"/>
      <c r="E90"/>
      <c r="F90"/>
      <c r="G90"/>
      <c r="I90" s="7"/>
      <c r="J90" s="7"/>
    </row>
    <row r="91" spans="2:15" ht="13">
      <c r="B91" s="6"/>
      <c r="C91" s="6"/>
      <c r="D91" s="24"/>
      <c r="I91" s="7"/>
      <c r="J91" s="7"/>
    </row>
    <row r="92" spans="2:15" ht="13">
      <c r="B92" s="6"/>
      <c r="C92" s="6"/>
      <c r="D92" s="24"/>
      <c r="F92"/>
      <c r="G92"/>
    </row>
    <row r="93" spans="2:15" ht="13.5" thickBot="1">
      <c r="B93" s="6"/>
      <c r="C93" s="6"/>
      <c r="D93" s="24"/>
      <c r="H93" s="7"/>
    </row>
    <row r="94" spans="2:15">
      <c r="B94" s="19" t="s">
        <v>1039</v>
      </c>
      <c r="C94" s="12"/>
      <c r="E94" s="32" t="s">
        <v>66</v>
      </c>
      <c r="F94" s="12"/>
      <c r="H94" s="7"/>
    </row>
    <row r="95" spans="2:15" ht="13">
      <c r="B95" s="21" t="s">
        <v>1031</v>
      </c>
      <c r="C95" s="37">
        <v>1</v>
      </c>
      <c r="E95" s="124" t="s">
        <v>1031</v>
      </c>
      <c r="F95" s="14"/>
      <c r="H95" s="7"/>
    </row>
    <row r="96" spans="2:15" ht="13">
      <c r="B96" s="38" t="s">
        <v>933</v>
      </c>
      <c r="C96" s="37">
        <v>2</v>
      </c>
      <c r="E96" s="212" t="s">
        <v>1063</v>
      </c>
      <c r="F96" s="14"/>
      <c r="H96" s="7"/>
    </row>
    <row r="97" spans="2:10" ht="13">
      <c r="B97" s="21" t="s">
        <v>935</v>
      </c>
      <c r="C97" s="37">
        <v>3</v>
      </c>
      <c r="E97" s="124" t="s">
        <v>1064</v>
      </c>
      <c r="F97" s="14"/>
      <c r="H97" s="7"/>
    </row>
    <row r="98" spans="2:10" ht="13">
      <c r="B98" s="21" t="s">
        <v>937</v>
      </c>
      <c r="C98" s="37">
        <v>4</v>
      </c>
      <c r="E98" s="124" t="s">
        <v>1065</v>
      </c>
      <c r="F98" s="14"/>
      <c r="H98" s="7"/>
    </row>
    <row r="99" spans="2:10" ht="13.5" thickBot="1">
      <c r="B99" s="15" t="s">
        <v>939</v>
      </c>
      <c r="C99" s="39">
        <v>5</v>
      </c>
      <c r="E99" s="213" t="s">
        <v>1066</v>
      </c>
      <c r="F99" s="18"/>
      <c r="H99" s="7"/>
    </row>
    <row r="100" spans="2:10" ht="13" thickBot="1">
      <c r="B100" s="6"/>
      <c r="C100" s="6"/>
      <c r="H100" s="7"/>
    </row>
    <row r="101" spans="2:10">
      <c r="B101" s="19" t="s">
        <v>784</v>
      </c>
      <c r="C101" s="20"/>
      <c r="H101" s="7"/>
    </row>
    <row r="102" spans="2:10">
      <c r="B102" s="21" t="s">
        <v>788</v>
      </c>
      <c r="C102" s="22">
        <v>1</v>
      </c>
      <c r="H102" s="7"/>
    </row>
    <row r="103" spans="2:10">
      <c r="B103" s="21" t="s">
        <v>924</v>
      </c>
      <c r="C103" s="22">
        <v>2</v>
      </c>
      <c r="H103" s="7"/>
    </row>
    <row r="104" spans="2:10">
      <c r="B104" s="21" t="s">
        <v>923</v>
      </c>
      <c r="C104" s="22">
        <v>3</v>
      </c>
      <c r="H104" s="7"/>
      <c r="I104" s="7"/>
      <c r="J104" s="7"/>
    </row>
    <row r="105" spans="2:10">
      <c r="B105" s="21" t="s">
        <v>925</v>
      </c>
      <c r="C105" s="22">
        <v>4</v>
      </c>
      <c r="H105" s="7"/>
      <c r="I105" s="7"/>
      <c r="J105" s="7"/>
    </row>
    <row r="106" spans="2:10">
      <c r="B106" s="21" t="s">
        <v>799</v>
      </c>
      <c r="C106" s="22">
        <v>5</v>
      </c>
      <c r="H106" s="7"/>
      <c r="I106" s="7"/>
      <c r="J106" s="7"/>
    </row>
    <row r="107" spans="2:10" ht="13" thickBot="1">
      <c r="B107" s="36" t="s">
        <v>633</v>
      </c>
      <c r="C107" s="23">
        <v>6</v>
      </c>
      <c r="H107" s="7"/>
      <c r="I107" s="7"/>
      <c r="J107" s="7"/>
    </row>
    <row r="108" spans="2:10" ht="13" thickBot="1">
      <c r="I108" s="7"/>
      <c r="J108" s="7"/>
    </row>
    <row r="109" spans="2:10">
      <c r="B109" s="32" t="s">
        <v>827</v>
      </c>
      <c r="C109" s="11" t="s">
        <v>805</v>
      </c>
      <c r="D109" s="11"/>
      <c r="E109" s="481" t="s">
        <v>809</v>
      </c>
      <c r="F109" s="11"/>
      <c r="G109" s="11"/>
      <c r="H109" s="129"/>
      <c r="I109" s="7"/>
      <c r="J109" s="7"/>
    </row>
    <row r="110" spans="2:10">
      <c r="B110" s="27">
        <v>1</v>
      </c>
      <c r="C110" s="6" t="s">
        <v>807</v>
      </c>
      <c r="D110" s="6" t="s">
        <v>808</v>
      </c>
      <c r="E110" s="6"/>
      <c r="F110" s="6"/>
      <c r="G110" s="6"/>
      <c r="H110" s="126"/>
      <c r="I110" s="7"/>
      <c r="J110" s="7"/>
    </row>
    <row r="111" spans="2:10">
      <c r="B111" s="27">
        <v>2</v>
      </c>
      <c r="C111" s="6" t="s">
        <v>1030</v>
      </c>
      <c r="D111" s="6" t="s">
        <v>811</v>
      </c>
      <c r="E111" s="6"/>
      <c r="F111" s="6"/>
      <c r="G111" s="6"/>
      <c r="H111" s="126"/>
      <c r="I111" s="7"/>
      <c r="J111" s="7"/>
    </row>
    <row r="112" spans="2:10">
      <c r="B112" s="27">
        <v>3</v>
      </c>
      <c r="C112" s="6" t="s">
        <v>813</v>
      </c>
      <c r="D112" s="6" t="s">
        <v>814</v>
      </c>
      <c r="E112" s="6"/>
      <c r="F112" s="6"/>
      <c r="G112" s="6"/>
      <c r="H112" s="126"/>
    </row>
    <row r="113" spans="2:8" ht="13" thickBot="1">
      <c r="B113" s="28"/>
      <c r="C113" s="17"/>
      <c r="D113" s="17"/>
      <c r="E113" s="17"/>
      <c r="F113" s="17"/>
      <c r="G113" s="17"/>
      <c r="H113" s="478"/>
    </row>
    <row r="114" spans="2:8" ht="13" thickBot="1"/>
    <row r="115" spans="2:8">
      <c r="B115" s="185" t="s">
        <v>634</v>
      </c>
      <c r="C115" s="186" t="s">
        <v>957</v>
      </c>
    </row>
    <row r="116" spans="2:8">
      <c r="B116" s="187" t="s">
        <v>635</v>
      </c>
      <c r="C116" s="188">
        <v>1</v>
      </c>
    </row>
    <row r="117" spans="2:8" ht="13" thickBot="1">
      <c r="B117" s="190" t="s">
        <v>636</v>
      </c>
      <c r="C117" s="189">
        <v>2</v>
      </c>
    </row>
  </sheetData>
  <mergeCells count="1">
    <mergeCell ref="M3:M4"/>
  </mergeCells>
  <phoneticPr fontId="0" type="noConversion"/>
  <pageMargins left="0.75" right="0.75" top="1" bottom="1" header="0.5" footer="0.5"/>
  <pageSetup orientation="landscape" r:id="rId1"/>
  <headerFooter alignWithMargins="0"/>
  <rowBreaks count="2" manualBreakCount="2">
    <brk id="35" max="16383" man="1"/>
    <brk id="70" max="16383" man="1"/>
  </row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X103"/>
  <sheetViews>
    <sheetView tabSelected="1" topLeftCell="DS1" zoomScale="90" zoomScaleNormal="90" workbookViewId="0">
      <selection activeCell="EH6" sqref="EH6:EH8"/>
    </sheetView>
  </sheetViews>
  <sheetFormatPr defaultColWidth="9" defaultRowHeight="15.5"/>
  <cols>
    <col min="1" max="1" width="7.796875" style="956" customWidth="1"/>
    <col min="2" max="2" width="10.296875" style="956" customWidth="1"/>
    <col min="3" max="3" width="13.296875" style="956" customWidth="1"/>
    <col min="4" max="4" width="20.09765625" style="956" customWidth="1"/>
    <col min="5" max="5" width="17.8984375" style="956" customWidth="1"/>
    <col min="6" max="6" width="20.19921875" style="956" customWidth="1"/>
    <col min="7" max="7" width="12.59765625" style="956" customWidth="1"/>
    <col min="8" max="8" width="11.296875" style="956" customWidth="1"/>
    <col min="9" max="9" width="13.69921875" style="956" customWidth="1"/>
    <col min="10" max="10" width="12.296875" style="957" customWidth="1"/>
    <col min="11" max="11" width="8.8984375" style="957" customWidth="1"/>
    <col min="12" max="12" width="17.3984375" style="957" customWidth="1"/>
    <col min="13" max="13" width="17.3984375" style="957" bestFit="1" customWidth="1"/>
    <col min="14" max="14" width="12.8984375" style="957" customWidth="1"/>
    <col min="15" max="15" width="24.59765625" style="956" customWidth="1"/>
    <col min="16" max="16" width="17.59765625" style="956" customWidth="1"/>
    <col min="17" max="17" width="40.296875" style="956" customWidth="1"/>
    <col min="18" max="18" width="17.296875" style="956" customWidth="1"/>
    <col min="19" max="19" width="39" style="956" customWidth="1"/>
    <col min="20" max="20" width="17.09765625" style="956" customWidth="1"/>
    <col min="21" max="21" width="26.3984375" style="956" customWidth="1"/>
    <col min="22" max="22" width="8.3984375" style="956" customWidth="1"/>
    <col min="23" max="23" width="10" style="956" customWidth="1"/>
    <col min="24" max="25" width="11.69921875" style="956" customWidth="1"/>
    <col min="26" max="26" width="8" style="956" customWidth="1"/>
    <col min="27" max="27" width="7.3984375" style="956" customWidth="1"/>
    <col min="28" max="28" width="8.296875" style="956" customWidth="1"/>
    <col min="29" max="29" width="9.09765625" style="956" customWidth="1"/>
    <col min="30" max="30" width="10.296875" style="956" customWidth="1"/>
    <col min="31" max="31" width="8.09765625" style="956" customWidth="1"/>
    <col min="32" max="33" width="8.296875" style="956" customWidth="1"/>
    <col min="34" max="34" width="8.59765625" style="956" customWidth="1"/>
    <col min="35" max="35" width="9.3984375" style="956" customWidth="1"/>
    <col min="36" max="36" width="10" style="956" customWidth="1"/>
    <col min="37" max="37" width="9.3984375" style="956" customWidth="1"/>
    <col min="38" max="38" width="10" style="956" customWidth="1"/>
    <col min="39" max="39" width="10.09765625" style="956" customWidth="1"/>
    <col min="40" max="40" width="9.296875" style="956" customWidth="1"/>
    <col min="41" max="41" width="8.69921875" style="956" customWidth="1"/>
    <col min="42" max="42" width="8.296875" style="956" customWidth="1"/>
    <col min="43" max="43" width="11" style="956" customWidth="1"/>
    <col min="44" max="44" width="7.8984375" style="956" customWidth="1"/>
    <col min="45" max="45" width="11.59765625" style="956" customWidth="1"/>
    <col min="46" max="46" width="10.8984375" style="956" customWidth="1"/>
    <col min="47" max="47" width="10.09765625" style="956" customWidth="1"/>
    <col min="48" max="48" width="12.296875" style="956" customWidth="1"/>
    <col min="49" max="49" width="10.59765625" style="956" customWidth="1"/>
    <col min="50" max="50" width="9.3984375" style="956" customWidth="1"/>
    <col min="51" max="51" width="8.09765625" style="956" customWidth="1"/>
    <col min="52" max="53" width="6.59765625" style="956" customWidth="1"/>
    <col min="54" max="54" width="8.59765625" style="956" customWidth="1"/>
    <col min="55" max="55" width="12.8984375" style="956" customWidth="1"/>
    <col min="56" max="56" width="11.09765625" style="956" customWidth="1"/>
    <col min="57" max="57" width="7.8984375" style="956" customWidth="1"/>
    <col min="58" max="58" width="6.69921875" style="956" customWidth="1"/>
    <col min="59" max="59" width="11.3984375" style="956" customWidth="1"/>
    <col min="60" max="60" width="10.09765625" style="956" customWidth="1"/>
    <col min="61" max="61" width="10.8984375" style="956" customWidth="1"/>
    <col min="62" max="62" width="10.69921875" style="956" customWidth="1"/>
    <col min="63" max="64" width="10.8984375" style="956" customWidth="1"/>
    <col min="65" max="65" width="8.69921875" style="956" bestFit="1" customWidth="1"/>
    <col min="66" max="66" width="9.59765625" style="956" customWidth="1"/>
    <col min="67" max="67" width="8.3984375" style="956" customWidth="1"/>
    <col min="68" max="68" width="10.09765625" style="956" customWidth="1"/>
    <col min="69" max="69" width="8.296875" style="956" bestFit="1" customWidth="1"/>
    <col min="70" max="70" width="9.3984375" style="956" customWidth="1"/>
    <col min="71" max="71" width="11" style="956" customWidth="1"/>
    <col min="72" max="72" width="7.8984375" style="956" customWidth="1"/>
    <col min="73" max="73" width="8" style="956" customWidth="1"/>
    <col min="74" max="74" width="7.8984375" style="956" bestFit="1" customWidth="1"/>
    <col min="75" max="75" width="8" style="956" customWidth="1"/>
    <col min="76" max="76" width="12.296875" style="956" customWidth="1"/>
    <col min="77" max="77" width="10.296875" style="956" customWidth="1"/>
    <col min="78" max="78" width="8.3984375" style="956" customWidth="1"/>
    <col min="79" max="79" width="9.59765625" style="956" customWidth="1"/>
    <col min="80" max="80" width="11.3984375" style="956" customWidth="1"/>
    <col min="81" max="81" width="11.8984375" style="956" customWidth="1"/>
    <col min="82" max="82" width="11.69921875" style="956" customWidth="1"/>
    <col min="83" max="83" width="9" style="956" customWidth="1"/>
    <col min="84" max="84" width="8" style="956" customWidth="1"/>
    <col min="85" max="85" width="9.59765625" style="956" customWidth="1"/>
    <col min="86" max="86" width="10.09765625" style="956" customWidth="1"/>
    <col min="87" max="87" width="11" style="956" customWidth="1"/>
    <col min="88" max="89" width="10.3984375" style="956" customWidth="1"/>
    <col min="90" max="90" width="10.69921875" style="956" customWidth="1"/>
    <col min="91" max="91" width="8.59765625" style="956" customWidth="1"/>
    <col min="92" max="92" width="9.296875" style="956" customWidth="1"/>
    <col min="93" max="93" width="10.09765625" style="956" customWidth="1"/>
    <col min="94" max="94" width="8.3984375" style="956" customWidth="1"/>
    <col min="95" max="95" width="9.3984375" style="956" customWidth="1"/>
    <col min="96" max="96" width="9.296875" style="956" customWidth="1"/>
    <col min="97" max="100" width="9" style="956" customWidth="1"/>
    <col min="101" max="101" width="10.59765625" style="956" customWidth="1"/>
    <col min="102" max="102" width="8" style="956" customWidth="1"/>
    <col min="103" max="103" width="7.8984375" style="956" customWidth="1"/>
    <col min="104" max="104" width="7.69921875" style="956" customWidth="1"/>
    <col min="105" max="105" width="11.296875" style="956" customWidth="1"/>
    <col min="106" max="106" width="11.3984375" style="956" customWidth="1"/>
    <col min="107" max="107" width="8.8984375" style="956" customWidth="1"/>
    <col min="108" max="108" width="11" style="956" customWidth="1"/>
    <col min="109" max="110" width="11.3984375" style="956" customWidth="1"/>
    <col min="111" max="111" width="9.09765625" style="956" customWidth="1"/>
    <col min="112" max="112" width="13.296875" style="956" customWidth="1"/>
    <col min="113" max="113" width="8.296875" style="956" customWidth="1"/>
    <col min="114" max="114" width="11.8984375" style="956" customWidth="1"/>
    <col min="115" max="115" width="9.59765625" style="956" customWidth="1"/>
    <col min="116" max="116" width="8.59765625" style="956" customWidth="1"/>
    <col min="117" max="117" width="10" style="956" customWidth="1"/>
    <col min="118" max="118" width="8.59765625" style="956" customWidth="1"/>
    <col min="119" max="119" width="8.296875" style="956" customWidth="1"/>
    <col min="120" max="120" width="7.8984375" style="956" customWidth="1"/>
    <col min="121" max="121" width="8.8984375" style="956" customWidth="1"/>
    <col min="122" max="122" width="9" style="956" customWidth="1"/>
    <col min="123" max="123" width="8.3984375" style="956" customWidth="1"/>
    <col min="124" max="124" width="8.296875" style="956" customWidth="1"/>
    <col min="125" max="125" width="7.3984375" style="956" customWidth="1"/>
    <col min="126" max="126" width="8.296875" style="956" customWidth="1"/>
    <col min="127" max="127" width="7.69921875" style="956" customWidth="1"/>
    <col min="128" max="128" width="8.3984375" style="956" customWidth="1"/>
    <col min="129" max="129" width="7.59765625" style="956" customWidth="1"/>
    <col min="130" max="130" width="8.09765625" style="956" customWidth="1"/>
    <col min="131" max="131" width="8.296875" style="956" customWidth="1"/>
    <col min="132" max="132" width="7.296875" style="956" customWidth="1"/>
    <col min="133" max="133" width="7.09765625" style="956" customWidth="1"/>
    <col min="134" max="134" width="9" style="956" customWidth="1"/>
    <col min="135" max="135" width="7.59765625" style="956" customWidth="1"/>
    <col min="136" max="136" width="8.59765625" style="956" customWidth="1"/>
    <col min="137" max="137" width="9.296875" style="956" customWidth="1"/>
    <col min="138" max="138" width="10.59765625" style="956" customWidth="1"/>
    <col min="139" max="139" width="10.3984375" style="956" customWidth="1"/>
    <col min="140" max="140" width="8.8984375" style="956" customWidth="1"/>
    <col min="141" max="141" width="10.59765625" style="956" customWidth="1"/>
    <col min="142" max="142" width="9.59765625" style="956" customWidth="1"/>
    <col min="143" max="143" width="9.09765625" style="956" bestFit="1" customWidth="1"/>
    <col min="144" max="145" width="10.69921875" style="956" customWidth="1"/>
    <col min="146" max="146" width="14.3984375" style="956" customWidth="1"/>
    <col min="147" max="147" width="10.59765625" style="956" customWidth="1"/>
    <col min="148" max="148" width="11.59765625" style="956" customWidth="1"/>
    <col min="149" max="149" width="11" style="956" bestFit="1" customWidth="1"/>
    <col min="150" max="150" width="10.59765625" style="956" customWidth="1"/>
    <col min="151" max="151" width="10.3984375" style="956" customWidth="1"/>
    <col min="152" max="16384" width="9" style="956"/>
  </cols>
  <sheetData>
    <row r="1" spans="1:154" ht="3.75" customHeight="1" thickBot="1">
      <c r="O1" s="958"/>
      <c r="P1" s="958"/>
      <c r="Q1" s="958"/>
      <c r="R1" s="958"/>
      <c r="S1" s="958"/>
      <c r="T1" s="958"/>
      <c r="U1" s="958"/>
      <c r="V1" s="959"/>
      <c r="W1" s="959"/>
      <c r="X1" s="960"/>
      <c r="Y1" s="960"/>
      <c r="Z1" s="961"/>
      <c r="AA1" s="961"/>
      <c r="AB1" s="961"/>
      <c r="AC1" s="961"/>
      <c r="AD1" s="957"/>
      <c r="AE1" s="959"/>
      <c r="AF1" s="961"/>
      <c r="AG1" s="961"/>
      <c r="DZ1" s="1200"/>
      <c r="EA1" s="1200"/>
      <c r="EB1" s="1200"/>
      <c r="EC1" s="1200"/>
      <c r="ED1" s="1200"/>
      <c r="EE1" s="1200"/>
      <c r="EF1" s="1200"/>
      <c r="EG1" s="1200"/>
      <c r="EH1" s="1200"/>
      <c r="EI1" s="1200"/>
      <c r="EJ1" s="1200"/>
      <c r="EK1" s="1200"/>
      <c r="EL1" s="1200"/>
      <c r="EM1" s="1200"/>
      <c r="EN1" s="1200"/>
      <c r="EO1" s="1200"/>
      <c r="EP1" s="1200"/>
      <c r="EQ1" s="1200"/>
    </row>
    <row r="2" spans="1:154" ht="15.75" customHeight="1" thickTop="1" thickBot="1">
      <c r="B2" s="962" t="s">
        <v>559</v>
      </c>
      <c r="C2" s="962"/>
      <c r="D2" s="962"/>
      <c r="E2" s="962"/>
      <c r="F2" s="962"/>
      <c r="G2" s="957"/>
      <c r="H2" s="957"/>
      <c r="I2" s="957"/>
      <c r="O2" s="1200"/>
      <c r="P2" s="963"/>
      <c r="Q2" s="1200"/>
      <c r="T2" s="1201"/>
      <c r="U2" s="958"/>
      <c r="V2" s="959"/>
      <c r="X2" s="960"/>
      <c r="Y2" s="960"/>
      <c r="Z2" s="961"/>
      <c r="AA2" s="961"/>
      <c r="AB2" s="961"/>
      <c r="AC2" s="961"/>
      <c r="AD2" s="957"/>
      <c r="AE2" s="959"/>
      <c r="AF2" s="961"/>
      <c r="AG2" s="961"/>
      <c r="AH2" s="1340" t="s">
        <v>293</v>
      </c>
      <c r="AI2" s="1377" t="s">
        <v>293</v>
      </c>
      <c r="AJ2" s="1371" t="s">
        <v>563</v>
      </c>
      <c r="AP2" s="1380" t="s">
        <v>1212</v>
      </c>
      <c r="AQ2" s="1381"/>
      <c r="BT2" s="1352" t="s">
        <v>1216</v>
      </c>
      <c r="BU2" s="1352"/>
      <c r="BX2" s="1352" t="s">
        <v>429</v>
      </c>
      <c r="DA2" s="964" t="s">
        <v>1220</v>
      </c>
      <c r="EA2" s="965" t="s">
        <v>1230</v>
      </c>
      <c r="EB2" s="966" t="s">
        <v>1231</v>
      </c>
      <c r="EC2" s="967"/>
      <c r="ED2" s="968"/>
      <c r="EG2" s="969" t="s">
        <v>1234</v>
      </c>
      <c r="EH2" s="970"/>
      <c r="EI2" s="970"/>
      <c r="EJ2" s="970"/>
      <c r="EK2" s="970"/>
      <c r="EL2" s="970"/>
      <c r="EM2" s="970"/>
      <c r="EN2" s="970"/>
      <c r="EO2" s="970"/>
      <c r="EP2" s="971"/>
      <c r="ES2" s="956" t="s">
        <v>1255</v>
      </c>
    </row>
    <row r="3" spans="1:154" ht="15.5" customHeight="1" thickTop="1" thickBot="1">
      <c r="B3" s="972" t="s">
        <v>1237</v>
      </c>
      <c r="C3" s="972"/>
      <c r="D3" s="972"/>
      <c r="E3" s="972"/>
      <c r="F3" s="972"/>
      <c r="M3" s="1200"/>
      <c r="O3" s="1200"/>
      <c r="P3" s="963"/>
      <c r="Q3" s="1200"/>
      <c r="T3" s="958"/>
      <c r="V3" s="959"/>
      <c r="W3" s="958"/>
      <c r="X3" s="960"/>
      <c r="Y3" s="960"/>
      <c r="Z3" s="961"/>
      <c r="AA3" s="961"/>
      <c r="AB3" s="961"/>
      <c r="AC3" s="961"/>
      <c r="AD3" s="957"/>
      <c r="AE3" s="959"/>
      <c r="AF3" s="961"/>
      <c r="AG3" s="961"/>
      <c r="AH3" s="1341"/>
      <c r="AI3" s="1378"/>
      <c r="AJ3" s="1372"/>
      <c r="AP3" s="1382"/>
      <c r="AQ3" s="1383"/>
      <c r="BT3" s="1352"/>
      <c r="BU3" s="1352"/>
      <c r="BX3" s="1352"/>
      <c r="DA3" s="1392" t="s">
        <v>530</v>
      </c>
      <c r="DB3" s="1393"/>
      <c r="DC3" s="973"/>
      <c r="EA3" s="974">
        <v>1E-3</v>
      </c>
      <c r="EB3" s="975" t="s">
        <v>1232</v>
      </c>
      <c r="EC3" s="976"/>
      <c r="ED3" s="977"/>
    </row>
    <row r="4" spans="1:154" ht="15.5" customHeight="1" thickTop="1">
      <c r="B4" s="972" t="s">
        <v>1238</v>
      </c>
      <c r="C4" s="972"/>
      <c r="D4" s="972"/>
      <c r="E4" s="972"/>
      <c r="F4" s="972"/>
      <c r="G4" s="1202"/>
      <c r="H4" s="1202"/>
      <c r="I4" s="1202"/>
      <c r="M4" s="1200"/>
      <c r="O4" s="1200"/>
      <c r="P4" s="963"/>
      <c r="Q4" s="1200"/>
      <c r="S4" s="958"/>
      <c r="T4" s="958"/>
      <c r="V4" s="959"/>
      <c r="W4" s="958"/>
      <c r="X4" s="960"/>
      <c r="Y4" s="960"/>
      <c r="Z4" s="961"/>
      <c r="AA4" s="961"/>
      <c r="AB4" s="961"/>
      <c r="AC4" s="961"/>
      <c r="AD4" s="957"/>
      <c r="AE4" s="1200"/>
      <c r="AF4" s="1200"/>
      <c r="AG4" s="1200"/>
      <c r="AH4" s="1341"/>
      <c r="AI4" s="1378"/>
      <c r="AJ4" s="1372"/>
      <c r="AP4" s="1382"/>
      <c r="AQ4" s="1383"/>
      <c r="BT4" s="1352"/>
      <c r="BU4" s="1352"/>
      <c r="BX4" s="1352"/>
      <c r="DA4" s="1394"/>
      <c r="DB4" s="1395"/>
      <c r="DC4" s="973"/>
      <c r="EA4" s="978"/>
      <c r="EB4" s="979"/>
      <c r="EC4" s="980"/>
      <c r="ED4" s="980"/>
    </row>
    <row r="5" spans="1:154" ht="15.5" customHeight="1" thickBot="1">
      <c r="B5" s="964" t="s">
        <v>407</v>
      </c>
      <c r="C5" s="964"/>
      <c r="D5" s="964"/>
      <c r="E5" s="964"/>
      <c r="F5" s="964"/>
      <c r="G5" s="1202"/>
      <c r="H5" s="1202"/>
      <c r="I5" s="1202"/>
      <c r="M5" s="1200"/>
      <c r="O5" s="1200"/>
      <c r="P5" s="963"/>
      <c r="Q5" s="1200"/>
      <c r="T5" s="981"/>
      <c r="V5" s="959"/>
      <c r="W5" s="958"/>
      <c r="X5" s="960"/>
      <c r="Y5" s="960"/>
      <c r="Z5" s="961"/>
      <c r="AA5" s="961"/>
      <c r="AB5" s="961"/>
      <c r="AC5" s="961"/>
      <c r="AD5" s="957"/>
      <c r="AE5" s="1200"/>
      <c r="AF5" s="1200"/>
      <c r="AG5" s="1200"/>
      <c r="AH5" s="1341"/>
      <c r="AI5" s="1378"/>
      <c r="AJ5" s="1372"/>
      <c r="AP5" s="1382"/>
      <c r="AQ5" s="1383"/>
      <c r="BT5" s="1352"/>
      <c r="BU5" s="1352"/>
      <c r="BX5" s="1352"/>
      <c r="DA5" s="1394"/>
      <c r="DB5" s="1395"/>
      <c r="DC5" s="973"/>
      <c r="DV5" s="956" t="s">
        <v>1256</v>
      </c>
      <c r="EA5" s="978"/>
      <c r="EB5" s="979"/>
      <c r="EC5" s="980"/>
      <c r="ED5" s="980"/>
      <c r="EP5" s="956" t="s">
        <v>378</v>
      </c>
    </row>
    <row r="6" spans="1:154" ht="17.149999999999999" customHeight="1" thickTop="1">
      <c r="J6" s="982"/>
      <c r="K6" s="982"/>
      <c r="L6" s="982"/>
      <c r="M6" s="1200"/>
      <c r="N6" s="982"/>
      <c r="O6" s="1200"/>
      <c r="P6" s="963"/>
      <c r="Q6" s="1200"/>
      <c r="R6" s="1347" t="s">
        <v>562</v>
      </c>
      <c r="T6" s="981"/>
      <c r="Y6" s="983"/>
      <c r="Z6" s="1354" t="s">
        <v>1236</v>
      </c>
      <c r="AA6" s="1355"/>
      <c r="AB6" s="984"/>
      <c r="AC6" s="961"/>
      <c r="AD6" s="957"/>
      <c r="AE6" s="1200"/>
      <c r="AF6" s="1200"/>
      <c r="AG6" s="1200"/>
      <c r="AH6" s="1341"/>
      <c r="AI6" s="1378"/>
      <c r="AJ6" s="1372"/>
      <c r="AP6" s="1382"/>
      <c r="AQ6" s="1383"/>
      <c r="BT6" s="1353"/>
      <c r="BU6" s="1353"/>
      <c r="BX6" s="1352"/>
      <c r="CQ6" s="1374" t="s">
        <v>277</v>
      </c>
      <c r="DA6" s="1394"/>
      <c r="DB6" s="1395"/>
      <c r="DD6" s="985" t="s">
        <v>1219</v>
      </c>
      <c r="DE6" s="986"/>
      <c r="DF6" s="987"/>
      <c r="DH6" s="1388" t="s">
        <v>423</v>
      </c>
      <c r="DI6" s="1389"/>
      <c r="EH6" s="1369" t="s">
        <v>1229</v>
      </c>
      <c r="EK6" s="1369" t="s">
        <v>1229</v>
      </c>
      <c r="EM6" s="988" t="s">
        <v>1002</v>
      </c>
      <c r="EN6" s="1369" t="s">
        <v>1229</v>
      </c>
      <c r="EP6" s="956" t="s">
        <v>1015</v>
      </c>
      <c r="EQ6" s="1369" t="s">
        <v>1229</v>
      </c>
      <c r="ET6" s="1369" t="s">
        <v>1229</v>
      </c>
    </row>
    <row r="7" spans="1:154" ht="17.149999999999999" customHeight="1" thickBot="1">
      <c r="B7" s="957"/>
      <c r="C7" s="957"/>
      <c r="D7" s="957" t="s">
        <v>1254</v>
      </c>
      <c r="E7" s="957"/>
      <c r="F7" s="957"/>
      <c r="J7" s="982"/>
      <c r="K7" s="982"/>
      <c r="L7" s="982"/>
      <c r="M7" s="982"/>
      <c r="N7" s="982"/>
      <c r="O7" s="957"/>
      <c r="Q7" s="957"/>
      <c r="R7" s="1348"/>
      <c r="T7" s="981"/>
      <c r="U7" s="1366" t="s">
        <v>533</v>
      </c>
      <c r="V7" s="1360" t="s">
        <v>1235</v>
      </c>
      <c r="W7" s="1361"/>
      <c r="X7" s="1362"/>
      <c r="Y7" s="989"/>
      <c r="Z7" s="1356"/>
      <c r="AA7" s="1357"/>
      <c r="AB7" s="984"/>
      <c r="AC7" s="959"/>
      <c r="AD7" s="990"/>
      <c r="AE7" s="1200"/>
      <c r="AF7" s="1200"/>
      <c r="AG7" s="1200"/>
      <c r="AH7" s="1341"/>
      <c r="AI7" s="1378"/>
      <c r="AJ7" s="1372"/>
      <c r="AP7" s="1382"/>
      <c r="AQ7" s="1383"/>
      <c r="BT7" s="1350" t="s">
        <v>1215</v>
      </c>
      <c r="BU7" s="1351"/>
      <c r="BX7" s="991" t="s">
        <v>1221</v>
      </c>
      <c r="CQ7" s="1375"/>
      <c r="DA7" s="992" t="s">
        <v>529</v>
      </c>
      <c r="DB7" s="993" t="s">
        <v>557</v>
      </c>
      <c r="DD7" s="994" t="s">
        <v>421</v>
      </c>
      <c r="DE7" s="995"/>
      <c r="DF7" s="996"/>
      <c r="DH7" s="1390"/>
      <c r="DI7" s="1391"/>
      <c r="DW7" s="1200"/>
      <c r="EA7" s="958"/>
      <c r="EB7" s="958"/>
      <c r="EC7" s="958"/>
      <c r="ED7" s="958"/>
      <c r="EH7" s="1369"/>
      <c r="EJ7" s="956" t="s">
        <v>1028</v>
      </c>
      <c r="EK7" s="1369"/>
      <c r="EM7" s="956" t="s">
        <v>1006</v>
      </c>
      <c r="EN7" s="1369"/>
      <c r="EP7" s="956" t="s">
        <v>922</v>
      </c>
      <c r="EQ7" s="1369"/>
      <c r="ES7" s="956" t="s">
        <v>1226</v>
      </c>
      <c r="ET7" s="1369"/>
    </row>
    <row r="8" spans="1:154" ht="18" customHeight="1" thickTop="1" thickBot="1">
      <c r="B8" s="997" t="s">
        <v>1246</v>
      </c>
      <c r="C8" s="998"/>
      <c r="D8" s="998"/>
      <c r="E8" s="998"/>
      <c r="F8" s="998"/>
      <c r="G8" s="999"/>
      <c r="H8" s="998"/>
      <c r="I8" s="998"/>
      <c r="O8" s="957"/>
      <c r="P8" s="1343" t="s">
        <v>561</v>
      </c>
      <c r="Q8" s="1344"/>
      <c r="R8" s="1348"/>
      <c r="T8" s="981"/>
      <c r="U8" s="1367"/>
      <c r="V8" s="1363"/>
      <c r="W8" s="1364"/>
      <c r="X8" s="1365"/>
      <c r="Z8" s="1358"/>
      <c r="AA8" s="1359"/>
      <c r="AB8" s="959"/>
      <c r="AC8" s="959"/>
      <c r="AD8" s="1000"/>
      <c r="AE8" s="959"/>
      <c r="AF8" s="959"/>
      <c r="AG8" s="959"/>
      <c r="AH8" s="1342"/>
      <c r="AI8" s="1379"/>
      <c r="AJ8" s="1373" t="s">
        <v>563</v>
      </c>
      <c r="AK8" s="1386" t="s">
        <v>564</v>
      </c>
      <c r="AL8" s="1386"/>
      <c r="AM8" s="1386"/>
      <c r="AN8" s="1386"/>
      <c r="AO8" s="1386"/>
      <c r="AP8" s="1384"/>
      <c r="AQ8" s="1385"/>
      <c r="AR8" s="1386" t="s">
        <v>565</v>
      </c>
      <c r="AS8" s="1386"/>
      <c r="AT8" s="1386"/>
      <c r="AU8" s="1386"/>
      <c r="AV8" s="1001" t="s">
        <v>566</v>
      </c>
      <c r="BT8" s="1002" t="s">
        <v>526</v>
      </c>
      <c r="BU8" s="1003" t="s">
        <v>527</v>
      </c>
      <c r="BX8" s="1203" t="s">
        <v>528</v>
      </c>
      <c r="CQ8" s="1376"/>
      <c r="DA8" s="964" t="s">
        <v>558</v>
      </c>
      <c r="DH8" s="1387" t="s">
        <v>285</v>
      </c>
      <c r="DI8" s="1387"/>
      <c r="DU8" s="1396" t="s">
        <v>1233</v>
      </c>
      <c r="DV8" s="1397"/>
      <c r="DW8" s="1397"/>
      <c r="DX8" s="1397"/>
      <c r="DY8" s="1397"/>
      <c r="DZ8" s="1397"/>
      <c r="EA8" s="1397"/>
      <c r="EB8" s="1397"/>
      <c r="EC8" s="1397"/>
      <c r="ED8" s="1397"/>
      <c r="EE8" s="1397"/>
      <c r="EF8" s="1397"/>
      <c r="EH8" s="1370"/>
      <c r="EJ8" s="956" t="s">
        <v>379</v>
      </c>
      <c r="EK8" s="1370"/>
      <c r="EM8" s="956" t="s">
        <v>1005</v>
      </c>
      <c r="EN8" s="1370"/>
      <c r="EP8" s="956" t="s">
        <v>184</v>
      </c>
      <c r="EQ8" s="1370"/>
      <c r="ES8" s="956" t="s">
        <v>1227</v>
      </c>
      <c r="ET8" s="1370"/>
    </row>
    <row r="9" spans="1:154" ht="23.5" customHeight="1" thickTop="1">
      <c r="B9" s="1246" t="s">
        <v>560</v>
      </c>
      <c r="C9" s="1246"/>
      <c r="D9" s="1246"/>
      <c r="E9" s="1246"/>
      <c r="F9" s="1246"/>
      <c r="J9" s="959"/>
      <c r="K9" s="959"/>
      <c r="L9" s="1331" t="s">
        <v>1253</v>
      </c>
      <c r="M9" s="1332"/>
      <c r="N9" s="959"/>
      <c r="O9" s="959"/>
      <c r="P9" s="1345"/>
      <c r="Q9" s="1346"/>
      <c r="R9" s="1349"/>
      <c r="T9" s="981"/>
      <c r="U9" s="1368"/>
      <c r="V9" s="1004" t="s">
        <v>171</v>
      </c>
      <c r="W9" s="1005"/>
      <c r="X9" s="1005"/>
      <c r="Y9" s="1005"/>
      <c r="Z9" s="1006"/>
      <c r="AA9" s="1007"/>
      <c r="AB9" s="1008"/>
      <c r="AC9" s="1008"/>
      <c r="AD9" s="1005"/>
      <c r="AE9" s="1009"/>
      <c r="AF9" s="1008"/>
      <c r="AG9" s="1008"/>
      <c r="AH9" s="1010" t="s">
        <v>127</v>
      </c>
      <c r="AI9" s="1011"/>
      <c r="AJ9" s="1011"/>
      <c r="AK9" s="1011"/>
      <c r="AL9" s="1011"/>
      <c r="AM9" s="1011"/>
      <c r="AN9" s="1011"/>
      <c r="AO9" s="1011"/>
      <c r="AP9" s="1012"/>
      <c r="AQ9" s="1013"/>
      <c r="AR9" s="1013"/>
      <c r="AS9" s="1013"/>
      <c r="AT9" s="1013"/>
      <c r="AU9" s="1013"/>
      <c r="AV9" s="1014" t="s">
        <v>278</v>
      </c>
      <c r="AW9" s="1015"/>
      <c r="AX9" s="1015"/>
      <c r="AY9" s="1015"/>
      <c r="AZ9" s="1016"/>
      <c r="BA9" s="1017" t="s">
        <v>279</v>
      </c>
      <c r="BB9" s="1018"/>
      <c r="BC9" s="1018"/>
      <c r="BD9" s="1018"/>
      <c r="BE9" s="1018"/>
      <c r="BF9" s="1019"/>
      <c r="BG9" s="1020" t="s">
        <v>280</v>
      </c>
      <c r="BH9" s="1021"/>
      <c r="BI9" s="1021"/>
      <c r="BJ9" s="1021"/>
      <c r="BK9" s="1021"/>
      <c r="BL9" s="1021"/>
      <c r="BM9" s="1021"/>
      <c r="BN9" s="1022"/>
      <c r="BO9" s="1023" t="s">
        <v>1275</v>
      </c>
      <c r="BP9" s="1024"/>
      <c r="BQ9" s="1024"/>
      <c r="BR9" s="1024"/>
      <c r="BS9" s="1025"/>
      <c r="BT9" s="1014" t="s">
        <v>281</v>
      </c>
      <c r="BU9" s="1015"/>
      <c r="BV9" s="1015"/>
      <c r="BW9" s="1026"/>
      <c r="BX9" s="1027" t="s">
        <v>282</v>
      </c>
      <c r="BY9" s="1028"/>
      <c r="BZ9" s="1028"/>
      <c r="CA9" s="1028"/>
      <c r="CB9" s="1028"/>
      <c r="CC9" s="1028"/>
      <c r="CD9" s="1028"/>
      <c r="CE9" s="1028"/>
      <c r="CF9" s="1028"/>
      <c r="CG9" s="1028"/>
      <c r="CH9" s="1028"/>
      <c r="CI9" s="1028"/>
      <c r="CJ9" s="1028"/>
      <c r="CK9" s="1028"/>
      <c r="CL9" s="1028"/>
      <c r="CM9" s="1028"/>
      <c r="CN9" s="1028"/>
      <c r="CO9" s="1338" t="s">
        <v>1276</v>
      </c>
      <c r="CP9" s="1338" t="s">
        <v>1277</v>
      </c>
      <c r="CQ9" s="1028"/>
      <c r="CR9" s="1029"/>
      <c r="CS9" s="1030" t="s">
        <v>283</v>
      </c>
      <c r="CT9" s="1031"/>
      <c r="CU9" s="1031"/>
      <c r="CV9" s="1031"/>
      <c r="CW9" s="1031"/>
      <c r="CX9" s="1031"/>
      <c r="CY9" s="1031"/>
      <c r="CZ9" s="1032"/>
      <c r="DA9" s="1033" t="s">
        <v>284</v>
      </c>
      <c r="DB9" s="1034"/>
      <c r="DC9" s="1034"/>
      <c r="DD9" s="1034"/>
      <c r="DE9" s="1034"/>
      <c r="DF9" s="1034"/>
      <c r="DG9" s="1035"/>
      <c r="DH9" s="1036" t="s">
        <v>1217</v>
      </c>
      <c r="DI9" s="1037"/>
      <c r="DJ9" s="1038" t="s">
        <v>1218</v>
      </c>
      <c r="DK9" s="1039"/>
      <c r="DL9" s="1039"/>
      <c r="DM9" s="1039"/>
      <c r="DN9" s="1039"/>
      <c r="DO9" s="1039"/>
      <c r="DP9" s="1040"/>
      <c r="DQ9" s="1023" t="s">
        <v>408</v>
      </c>
      <c r="DR9" s="1024"/>
      <c r="DS9" s="1024"/>
      <c r="DT9" s="1025"/>
      <c r="DU9" s="1041" t="s">
        <v>287</v>
      </c>
      <c r="DV9" s="1042"/>
      <c r="DW9" s="1042"/>
      <c r="DX9" s="1042"/>
      <c r="DY9" s="1042"/>
      <c r="DZ9" s="1042"/>
      <c r="EA9" s="1042"/>
      <c r="EB9" s="1042"/>
      <c r="EC9" s="1042"/>
      <c r="ED9" s="1042"/>
      <c r="EE9" s="1042"/>
      <c r="EF9" s="1043"/>
      <c r="EG9" s="1044" t="s">
        <v>128</v>
      </c>
      <c r="EH9" s="1045"/>
      <c r="EI9" s="1046"/>
      <c r="EJ9" s="1047" t="s">
        <v>380</v>
      </c>
      <c r="EK9" s="1047"/>
      <c r="EL9" s="1047"/>
      <c r="EM9" s="1048" t="s">
        <v>381</v>
      </c>
      <c r="EN9" s="1049"/>
      <c r="EO9" s="1050"/>
      <c r="EP9" s="1051" t="s">
        <v>1228</v>
      </c>
      <c r="EQ9" s="1052"/>
      <c r="ER9" s="1053"/>
      <c r="ES9" s="1054" t="s">
        <v>382</v>
      </c>
      <c r="ET9" s="1055"/>
      <c r="EU9" s="1056"/>
      <c r="EV9" s="1335" t="s">
        <v>1257</v>
      </c>
      <c r="EW9" s="1336"/>
      <c r="EX9" s="1337"/>
    </row>
    <row r="10" spans="1:154" ht="34.9" customHeight="1">
      <c r="A10" s="1199"/>
      <c r="B10" s="1247" t="s">
        <v>1258</v>
      </c>
      <c r="C10" s="1248" t="s">
        <v>1259</v>
      </c>
      <c r="D10" s="1249" t="s">
        <v>1260</v>
      </c>
      <c r="E10" s="1250" t="s">
        <v>1261</v>
      </c>
      <c r="F10" s="1251" t="s">
        <v>1262</v>
      </c>
      <c r="G10" s="1057" t="s">
        <v>1244</v>
      </c>
      <c r="H10" s="1058" t="s">
        <v>1243</v>
      </c>
      <c r="I10" s="1058" t="s">
        <v>1242</v>
      </c>
      <c r="J10" s="1058" t="s">
        <v>1245</v>
      </c>
      <c r="K10" s="1059" t="s">
        <v>1250</v>
      </c>
      <c r="L10" s="1060" t="s">
        <v>1239</v>
      </c>
      <c r="M10" s="1061" t="s">
        <v>1240</v>
      </c>
      <c r="N10" s="1062" t="s">
        <v>1241</v>
      </c>
      <c r="O10" s="1063" t="s">
        <v>1247</v>
      </c>
      <c r="P10" s="1064" t="s">
        <v>1248</v>
      </c>
      <c r="Q10" s="1065" t="s">
        <v>543</v>
      </c>
      <c r="R10" s="1066" t="s">
        <v>1249</v>
      </c>
      <c r="S10" s="1067" t="s">
        <v>294</v>
      </c>
      <c r="T10" s="1068" t="s">
        <v>544</v>
      </c>
      <c r="U10" s="1069" t="s">
        <v>531</v>
      </c>
      <c r="V10" s="1070" t="s">
        <v>129</v>
      </c>
      <c r="W10" s="1071" t="s">
        <v>266</v>
      </c>
      <c r="X10" s="1072" t="s">
        <v>267</v>
      </c>
      <c r="Y10" s="1072" t="s">
        <v>444</v>
      </c>
      <c r="Z10" s="1070" t="s">
        <v>532</v>
      </c>
      <c r="AA10" s="1070" t="s">
        <v>1278</v>
      </c>
      <c r="AB10" s="1073" t="s">
        <v>150</v>
      </c>
      <c r="AC10" s="1073" t="s">
        <v>1028</v>
      </c>
      <c r="AD10" s="1070" t="s">
        <v>161</v>
      </c>
      <c r="AE10" s="1074" t="s">
        <v>1002</v>
      </c>
      <c r="AF10" s="1073" t="s">
        <v>184</v>
      </c>
      <c r="AG10" s="1073" t="s">
        <v>202</v>
      </c>
      <c r="AH10" s="1075" t="s">
        <v>824</v>
      </c>
      <c r="AI10" s="1076" t="s">
        <v>352</v>
      </c>
      <c r="AJ10" s="1077" t="s">
        <v>353</v>
      </c>
      <c r="AK10" s="1078" t="s">
        <v>130</v>
      </c>
      <c r="AL10" s="1079" t="s">
        <v>898</v>
      </c>
      <c r="AM10" s="1079" t="s">
        <v>131</v>
      </c>
      <c r="AN10" s="1079" t="s">
        <v>132</v>
      </c>
      <c r="AO10" s="1080" t="s">
        <v>133</v>
      </c>
      <c r="AP10" s="1081" t="s">
        <v>1214</v>
      </c>
      <c r="AQ10" s="1082" t="s">
        <v>1213</v>
      </c>
      <c r="AR10" s="1078" t="s">
        <v>1039</v>
      </c>
      <c r="AS10" s="1079" t="s">
        <v>134</v>
      </c>
      <c r="AT10" s="1079" t="s">
        <v>272</v>
      </c>
      <c r="AU10" s="1079" t="s">
        <v>135</v>
      </c>
      <c r="AV10" s="1083" t="s">
        <v>136</v>
      </c>
      <c r="AW10" s="1084" t="s">
        <v>137</v>
      </c>
      <c r="AX10" s="1084" t="s">
        <v>138</v>
      </c>
      <c r="AY10" s="1084" t="s">
        <v>410</v>
      </c>
      <c r="AZ10" s="1085" t="s">
        <v>288</v>
      </c>
      <c r="BA10" s="1086" t="s">
        <v>139</v>
      </c>
      <c r="BB10" s="1087" t="s">
        <v>248</v>
      </c>
      <c r="BC10" s="1087" t="s">
        <v>1279</v>
      </c>
      <c r="BD10" s="1087" t="s">
        <v>273</v>
      </c>
      <c r="BE10" s="1087" t="s">
        <v>249</v>
      </c>
      <c r="BF10" s="1088" t="s">
        <v>250</v>
      </c>
      <c r="BG10" s="1089" t="s">
        <v>139</v>
      </c>
      <c r="BH10" s="1090" t="s">
        <v>137</v>
      </c>
      <c r="BI10" s="1090" t="s">
        <v>274</v>
      </c>
      <c r="BJ10" s="1090" t="s">
        <v>409</v>
      </c>
      <c r="BK10" s="1090" t="s">
        <v>275</v>
      </c>
      <c r="BL10" s="1090" t="s">
        <v>411</v>
      </c>
      <c r="BM10" s="1090" t="s">
        <v>1015</v>
      </c>
      <c r="BN10" s="1091" t="s">
        <v>251</v>
      </c>
      <c r="BO10" s="1092" t="s">
        <v>139</v>
      </c>
      <c r="BP10" s="1093" t="s">
        <v>142</v>
      </c>
      <c r="BQ10" s="1093" t="s">
        <v>138</v>
      </c>
      <c r="BR10" s="1093" t="s">
        <v>922</v>
      </c>
      <c r="BS10" s="1094" t="s">
        <v>424</v>
      </c>
      <c r="BT10" s="1083" t="s">
        <v>414</v>
      </c>
      <c r="BU10" s="1084" t="s">
        <v>415</v>
      </c>
      <c r="BV10" s="1084" t="s">
        <v>276</v>
      </c>
      <c r="BW10" s="1085" t="s">
        <v>289</v>
      </c>
      <c r="BX10" s="1095" t="s">
        <v>416</v>
      </c>
      <c r="BY10" s="1096" t="s">
        <v>1280</v>
      </c>
      <c r="BZ10" s="1096" t="s">
        <v>140</v>
      </c>
      <c r="CA10" s="1096" t="s">
        <v>143</v>
      </c>
      <c r="CB10" s="1096" t="s">
        <v>1281</v>
      </c>
      <c r="CC10" s="1096" t="s">
        <v>1282</v>
      </c>
      <c r="CD10" s="1096" t="s">
        <v>417</v>
      </c>
      <c r="CE10" s="1096" t="s">
        <v>418</v>
      </c>
      <c r="CF10" s="1096" t="s">
        <v>144</v>
      </c>
      <c r="CG10" s="1096" t="s">
        <v>141</v>
      </c>
      <c r="CH10" s="1096" t="s">
        <v>351</v>
      </c>
      <c r="CI10" s="1096" t="s">
        <v>145</v>
      </c>
      <c r="CJ10" s="1096" t="s">
        <v>146</v>
      </c>
      <c r="CK10" s="1096" t="s">
        <v>147</v>
      </c>
      <c r="CL10" s="1096" t="s">
        <v>148</v>
      </c>
      <c r="CM10" s="1096" t="s">
        <v>149</v>
      </c>
      <c r="CN10" s="1096" t="s">
        <v>150</v>
      </c>
      <c r="CO10" s="1339"/>
      <c r="CP10" s="1339"/>
      <c r="CQ10" s="1096" t="s">
        <v>1283</v>
      </c>
      <c r="CR10" s="1097" t="s">
        <v>1284</v>
      </c>
      <c r="CS10" s="1098" t="s">
        <v>151</v>
      </c>
      <c r="CT10" s="1099" t="s">
        <v>152</v>
      </c>
      <c r="CU10" s="1099" t="s">
        <v>153</v>
      </c>
      <c r="CV10" s="1099" t="s">
        <v>154</v>
      </c>
      <c r="CW10" s="1099" t="s">
        <v>155</v>
      </c>
      <c r="CX10" s="1099" t="s">
        <v>156</v>
      </c>
      <c r="CY10" s="1099" t="s">
        <v>1028</v>
      </c>
      <c r="CZ10" s="1100" t="s">
        <v>157</v>
      </c>
      <c r="DA10" s="1101" t="s">
        <v>158</v>
      </c>
      <c r="DB10" s="1102" t="s">
        <v>159</v>
      </c>
      <c r="DC10" s="1102" t="s">
        <v>160</v>
      </c>
      <c r="DD10" s="1102" t="s">
        <v>142</v>
      </c>
      <c r="DE10" s="1102" t="s">
        <v>161</v>
      </c>
      <c r="DF10" s="1102" t="s">
        <v>162</v>
      </c>
      <c r="DG10" s="1103" t="s">
        <v>163</v>
      </c>
      <c r="DH10" s="1104" t="s">
        <v>164</v>
      </c>
      <c r="DI10" s="1105" t="s">
        <v>165</v>
      </c>
      <c r="DJ10" s="1106" t="s">
        <v>136</v>
      </c>
      <c r="DK10" s="1107" t="s">
        <v>137</v>
      </c>
      <c r="DL10" s="1107" t="s">
        <v>138</v>
      </c>
      <c r="DM10" s="1107" t="s">
        <v>442</v>
      </c>
      <c r="DN10" s="1107" t="s">
        <v>252</v>
      </c>
      <c r="DO10" s="1107" t="s">
        <v>286</v>
      </c>
      <c r="DP10" s="1108" t="s">
        <v>253</v>
      </c>
      <c r="DQ10" s="1109" t="s">
        <v>890</v>
      </c>
      <c r="DR10" s="1110" t="s">
        <v>891</v>
      </c>
      <c r="DS10" s="1110" t="s">
        <v>202</v>
      </c>
      <c r="DT10" s="1094" t="s">
        <v>425</v>
      </c>
      <c r="DU10" s="1111" t="str">
        <f>AZ10</f>
        <v>SOC score</v>
      </c>
      <c r="DV10" s="1112" t="str">
        <f>BF10</f>
        <v>AGG score</v>
      </c>
      <c r="DW10" s="1112" t="str">
        <f>BN10</f>
        <v>MBC score</v>
      </c>
      <c r="DX10" s="1112" t="str">
        <f>BS10</f>
        <v>PMN [Nmin] score</v>
      </c>
      <c r="DY10" s="1112" t="str">
        <f>BW10</f>
        <v>pH score</v>
      </c>
      <c r="DZ10" s="1112" t="s">
        <v>1285</v>
      </c>
      <c r="EA10" s="1112" t="s">
        <v>1286</v>
      </c>
      <c r="EB10" s="1112" t="str">
        <f>CZ10</f>
        <v>BD score</v>
      </c>
      <c r="EC10" s="1112" t="str">
        <f>DG10</f>
        <v>EC score</v>
      </c>
      <c r="ED10" s="1112" t="str">
        <f>DI10</f>
        <v>SAR score</v>
      </c>
      <c r="EE10" s="1112" t="str">
        <f>DP10</f>
        <v>BG Score</v>
      </c>
      <c r="EF10" s="1113" t="str">
        <f>DT10</f>
        <v>Test K score</v>
      </c>
      <c r="EG10" s="1204" t="s">
        <v>290</v>
      </c>
      <c r="EH10" s="1205" t="s">
        <v>535</v>
      </c>
      <c r="EI10" s="1114" t="s">
        <v>567</v>
      </c>
      <c r="EJ10" s="1206" t="s">
        <v>290</v>
      </c>
      <c r="EK10" s="1206" t="s">
        <v>535</v>
      </c>
      <c r="EL10" s="1115" t="s">
        <v>1222</v>
      </c>
      <c r="EM10" s="1207" t="s">
        <v>290</v>
      </c>
      <c r="EN10" s="1208" t="s">
        <v>535</v>
      </c>
      <c r="EO10" s="1116" t="s">
        <v>1223</v>
      </c>
      <c r="EP10" s="1209" t="s">
        <v>290</v>
      </c>
      <c r="EQ10" s="1210" t="s">
        <v>535</v>
      </c>
      <c r="ER10" s="1117" t="s">
        <v>1224</v>
      </c>
      <c r="ES10" s="1211" t="s">
        <v>290</v>
      </c>
      <c r="ET10" s="1212" t="s">
        <v>535</v>
      </c>
      <c r="EU10" s="1118" t="s">
        <v>1225</v>
      </c>
      <c r="EV10" s="1213" t="s">
        <v>290</v>
      </c>
      <c r="EW10" s="1214" t="s">
        <v>535</v>
      </c>
      <c r="EX10" s="1119" t="s">
        <v>1225</v>
      </c>
    </row>
    <row r="11" spans="1:154" ht="19.5" customHeight="1">
      <c r="B11" s="1218" t="s">
        <v>1263</v>
      </c>
      <c r="C11" s="1219">
        <v>1</v>
      </c>
      <c r="D11" s="1220" t="s">
        <v>1264</v>
      </c>
      <c r="E11" s="1220" t="s">
        <v>1265</v>
      </c>
      <c r="F11" s="1221" t="s">
        <v>1266</v>
      </c>
      <c r="G11" s="1120"/>
      <c r="H11" s="1121"/>
      <c r="I11" s="1121"/>
      <c r="J11" s="1122"/>
      <c r="K11" s="1123"/>
      <c r="L11" s="1124"/>
      <c r="M11" s="1125"/>
      <c r="N11" s="1126"/>
      <c r="O11" s="1333"/>
      <c r="P11" s="1127"/>
      <c r="Q11" s="1128"/>
      <c r="R11" s="1129"/>
      <c r="S11" s="1130"/>
      <c r="T11" s="1131"/>
      <c r="U11" s="1132"/>
      <c r="V11" s="1278">
        <v>35.200000000000003</v>
      </c>
      <c r="W11" s="1262">
        <v>1.46</v>
      </c>
      <c r="X11" s="1283">
        <v>93.34</v>
      </c>
      <c r="Y11" s="1272">
        <v>228.61681663046863</v>
      </c>
      <c r="Z11" s="1255" t="s">
        <v>1058</v>
      </c>
      <c r="AA11" s="1277">
        <v>4.4858000000000002</v>
      </c>
      <c r="AB11" s="1261">
        <v>4.2</v>
      </c>
      <c r="AC11" s="1282">
        <v>1.3194883688242323</v>
      </c>
      <c r="AD11" s="1271" t="s">
        <v>1058</v>
      </c>
      <c r="AE11" s="1271" t="s">
        <v>1058</v>
      </c>
      <c r="AF11" s="1254">
        <v>45.078731321218172</v>
      </c>
      <c r="AG11" s="1282">
        <v>35.972000000000001</v>
      </c>
      <c r="AH11" s="1253">
        <v>4</v>
      </c>
      <c r="AI11" s="1253">
        <v>4</v>
      </c>
      <c r="AJ11" s="1253">
        <v>4</v>
      </c>
      <c r="AK11" s="1253">
        <v>1</v>
      </c>
      <c r="AL11" s="1253">
        <v>2</v>
      </c>
      <c r="AM11" s="1253">
        <v>2</v>
      </c>
      <c r="AN11" s="1253">
        <v>3</v>
      </c>
      <c r="AO11" s="1253">
        <v>2</v>
      </c>
      <c r="AP11" s="1253">
        <v>107</v>
      </c>
      <c r="AQ11" s="1253"/>
      <c r="AR11" s="1253">
        <v>2</v>
      </c>
      <c r="AS11" s="1253">
        <v>5</v>
      </c>
      <c r="AT11" s="1253">
        <v>2</v>
      </c>
      <c r="AU11" s="1253"/>
      <c r="AV11" s="1133">
        <f t="shared" ref="AV11" si="0">IF(AH11=1,0.3,IF(AH11=2,1.55,IF(AH11=3,2.17,3.81)))</f>
        <v>3.81</v>
      </c>
      <c r="AW11" s="1134">
        <f t="shared" ref="AW11" si="1">IF(AJ11=1,1.6,IF(AJ11=2,1.25,IF(AJ11=3,1.1,IF(AJ11=4,1.05,1))))</f>
        <v>1.05</v>
      </c>
      <c r="AX11" s="1134">
        <f t="shared" ref="AX11" si="2">IF(AK11=1,0.15,IF(AK11=2,0.05,IF(AK11=3,-0.05,-0.1)))</f>
        <v>0.15</v>
      </c>
      <c r="AY11" s="1135">
        <f t="shared" ref="AY11" si="3">W11</f>
        <v>1.46</v>
      </c>
      <c r="AZ11" s="1136">
        <f t="shared" ref="AZ11" si="4">1/(1+50.1*EXP(-((AV11*AW11)+(AV11*AW11*AX11))*AY11))</f>
        <v>0.9428279401977181</v>
      </c>
      <c r="BA11" s="1137">
        <f t="shared" ref="BA11" si="5">IF(AH11=1,1.2211054,IF(AH11=2,1.0715387,IF(AH11=3,1.0199112,0.8999381)))</f>
        <v>0.89993809999999996</v>
      </c>
      <c r="BB11" s="956">
        <f t="shared" ref="BB11" si="6">IF(AJ11=1,0.87,IF(AJ11=2,1.06,IF(AJ11=3,1,IF(AJ11=4,1.16,1.25))))</f>
        <v>1.1599999999999999</v>
      </c>
      <c r="BC11" s="1138">
        <f t="shared" ref="BC11" si="7">IF(AL11=1,1.1,1)</f>
        <v>1</v>
      </c>
      <c r="BD11" s="1139">
        <f t="shared" ref="BD11" si="8">X11</f>
        <v>93.34</v>
      </c>
      <c r="BE11" s="1138">
        <f t="shared" ref="BE11" si="9">-0.793+(1.7993*COS((0.0196*BD11-(BA11*BB11*BC11))))</f>
        <v>0.47912209958016005</v>
      </c>
      <c r="BF11" s="1140">
        <f t="shared" ref="BF11" si="10">IF(BD11&gt;50,1,IF(BE11&gt;0,BE11,IF(BE11&lt;0,0)))</f>
        <v>1</v>
      </c>
      <c r="BG11" s="1137">
        <f t="shared" ref="BG11" si="11">IF(AH11=1,0.0062097,IF(AH11=2,0.012419,IF(AH11=3,0.02,0.03)))</f>
        <v>0.03</v>
      </c>
      <c r="BH11" s="956">
        <f t="shared" ref="BH11" si="12">IF(AJ11=1,1.5,IF(AJ11=2,1.35,IF(AJ11=3,1.2,IF(AJ11=4,1,0.9))))</f>
        <v>1</v>
      </c>
      <c r="BI11" s="956">
        <f t="shared" ref="BI11" si="13">IF(BJ11&gt;0,BJ11,IF(BK11&gt;0,BK11,BL11))</f>
        <v>1.08</v>
      </c>
      <c r="BJ11" s="956">
        <f t="shared" ref="BJ11" si="14">IF(AM11=1,1,IF(AND(AM11=3,AK11=1),1.02,IF(AND(AM11=3,AK11=2),1.025,IF(AND(AM11=3,AK11=3),1.03,IF(AND(AM11=3,AK11=4),1.035,IF(OR(AM11=2,AM11=4),0,9000))))))</f>
        <v>0</v>
      </c>
      <c r="BK11" s="956">
        <f t="shared" ref="BK11" si="15">IF(AM11=1,0,IF(AM11=3,0,IF(AM11=4,0,IF(AND(AM11=2,AK11=1),1.08,IF(AND(AM11=2,AK11=2),1.07,IF(AND(AM11=2,AK11=3),1.06,IF(AND(AM11=2,AK11=4),1.05,1000)))))))</f>
        <v>1.08</v>
      </c>
      <c r="BL11" s="956">
        <f t="shared" ref="BL11" si="16">IF(OR(AM11=1,AM11=3),0,IF(AM11=2,0,IF(AND(AM11=4,AK11=1),1.12,IF(AND(AM11=4,AK11=2),1.1,IF(AND(AM11=4,AK11=3),1.08,IF(AND(AM11=4,AK11=4),1.06,700))))))</f>
        <v>0</v>
      </c>
      <c r="BM11" s="1141">
        <f t="shared" ref="BM11" si="17">Y11</f>
        <v>228.61681663046863</v>
      </c>
      <c r="BN11" s="1142">
        <f t="shared" ref="BN11" si="18">1/(1+40.748*EXP(-(BG11*BH11*BI11)*BM11))</f>
        <v>0.97586775341779264</v>
      </c>
      <c r="BO11" s="1143">
        <f t="shared" ref="BO11" si="19">IF(AH11=1,0.254995,IF(AH11=2,0.299255,IF(AH11=3,0.35467,0.432275)))</f>
        <v>0.43227500000000002</v>
      </c>
      <c r="BP11" s="1144">
        <f t="shared" ref="BP11" si="20">IF(AJ11=1,1.15,IF(OR(AJ11=2,AJ11=3),1,IF(AJ11=4,0.9,0.85)))</f>
        <v>0.9</v>
      </c>
      <c r="BQ11" s="1134">
        <f t="shared" ref="BQ11" si="21">IF(AK11=1,0.9,IF(AK11=2,0.95,IF(AK11=3,1,1.05)))</f>
        <v>0.9</v>
      </c>
      <c r="BR11" s="1145" t="str">
        <f t="shared" ref="BR11" si="22">Z11</f>
        <v>.</v>
      </c>
      <c r="BS11" s="1146" t="e">
        <f t="shared" ref="BS11" si="23">1/(1+161.32*EXP(-((BO11*BP11)+(BO11*BP11*BQ11))*BR11))</f>
        <v>#VALUE!</v>
      </c>
      <c r="BT11" s="1147">
        <f>VLOOKUP(AP11,'CROP FACTORS'!$C$5:$N$130,7,FALSE)</f>
        <v>4.5</v>
      </c>
      <c r="BU11" s="1148">
        <f>VLOOKUP(AP11,'CROP FACTORS'!$C$5:$P$130,8,FALSE)</f>
        <v>1</v>
      </c>
      <c r="BV11" s="1149">
        <f t="shared" ref="BV11" si="24">AA11</f>
        <v>4.4858000000000002</v>
      </c>
      <c r="BW11" s="1150">
        <f t="shared" ref="BW11" si="25">1*EXP(-(POWER(BV11-BT11,2))/(2*POWER(BU11,2)))</f>
        <v>0.99989918508216535</v>
      </c>
      <c r="BX11" s="1137">
        <f>VLOOKUP(AP11,'CROP FACTORS'!$C$5:$N$130,10,FALSE)</f>
        <v>6</v>
      </c>
      <c r="BY11" s="1138">
        <f>213.96744-39.579185*BX11+2.3020512*BX11*BX11</f>
        <v>59.366173199999992</v>
      </c>
      <c r="BZ11" s="956">
        <f t="shared" ref="BZ11" si="26">IF(AH11=1,0.125,IF(AH11=2,0.025,IF(AH11=3,0.0175,0.01)))</f>
        <v>0.01</v>
      </c>
      <c r="CA11" s="956">
        <f t="shared" ref="CA11" si="27">IF(AJ11=1,0.98,IF(AJ11=2,0.99,IF(AJ11=3,1,IF(AJ11=4,1.01,1.03))))</f>
        <v>1.01</v>
      </c>
      <c r="CB11" s="1148">
        <f t="shared" ref="CB11" si="28">BY11+(BY11*AY11/100)*CA11</f>
        <v>60.24158679000719</v>
      </c>
      <c r="CC11" s="1148">
        <f t="shared" ref="CC11" si="29">(BY11+(BY11*BZ11))*CA11</f>
        <v>60.55943328131999</v>
      </c>
      <c r="CD11" s="956">
        <f t="shared" ref="CD11" si="30">IF(AR11=1,160,IF(AR11=2,140,IF(AR11=3,115,IF(AR11=4,85,60))))</f>
        <v>140</v>
      </c>
      <c r="CE11" s="956">
        <f t="shared" ref="CE11" si="31">IF(AR11=1,110000,IF(AR11=2,90000,IF(AR11=3,70000,IF(AR11=4,35000,20000))))</f>
        <v>90000</v>
      </c>
      <c r="CF11" s="956">
        <f t="shared" ref="CF11" si="32">IF(AJ11=1,0.9,IF(AJ11=2,1,IF(AJ11=3,1.1,IF(AJ11=4,1.4,1.6))))</f>
        <v>1.4</v>
      </c>
      <c r="CG11" s="956">
        <f t="shared" ref="CG11" si="33">IF(AH11=1,0.25,IF(AH11=2,0.05,IF(AH11=3,0.035,0.02)))</f>
        <v>0.02</v>
      </c>
      <c r="CH11" s="956">
        <f t="shared" ref="CH11" si="34">(CE11+CE11*AY11/100)*CF11</f>
        <v>127839.59999999999</v>
      </c>
      <c r="CI11" s="956">
        <f t="shared" ref="CI11" si="35">(CE11+CE11*CG11)*CF11</f>
        <v>128519.99999999999</v>
      </c>
      <c r="CJ11" s="1138">
        <f t="shared" ref="CJ11" si="36">IF(AT11=1,CK11,IF(AT11=2,CL11,CM11))</f>
        <v>1.25</v>
      </c>
      <c r="CK11" s="1138">
        <f t="shared" ref="CK11" si="37">IF(AS11=1,2,IF(AS11=2,1,IF(AS11=3,1.8,IF(AS11=4,2.4,IF(AS11=5,2.1,2.3)))))</f>
        <v>2.1</v>
      </c>
      <c r="CL11" s="1138">
        <f>IF(AS11=1,1.4,IF(AS11=2,1,IF(AS11=3,0.66,IF(AS11=4,1.8,IF(AS11=5,1.25,3.66)))))</f>
        <v>1.25</v>
      </c>
      <c r="CM11" s="1138">
        <f t="shared" ref="CM11" si="38">IF(AS11=1,1.35,IF(AS11=2,1,IF(AS11=3,1,IF(AS11=4,1.7,IF(AS11=5,1.25,1.5)))))</f>
        <v>1.25</v>
      </c>
      <c r="CN11" s="1151">
        <f t="shared" ref="CN11" si="39">AB11</f>
        <v>4.2</v>
      </c>
      <c r="CO11" s="1138">
        <f t="shared" ref="CO11" si="40">IF(CN11*CJ11&lt;=(BX11+6),(0.00000925*CB11+1*POWER(CN11*CJ11,3.06))/(CB11+POWER(CN11*CJ11,3.06)),IF(CN11*CJ11&gt;CD11,1-4.5*EXP(-CH11*POWER(CN11*CJ11,-2)),1))</f>
        <v>0.72627956205554667</v>
      </c>
      <c r="CP11" s="1138">
        <f t="shared" ref="CP11" si="41">IF(CN11*CJ11&lt;=(BX11+6),(0.00000925*CC11+1*POWER(CN11*CJ11,3.06))/(CC11+POWER(CN11*CJ11,3.06)),IF(CN11*CJ11&gt;CD11,1-4.5*EXP(-CI11*POWER(CN11*CJ11,-2)),1))</f>
        <v>0.7252321832262294</v>
      </c>
      <c r="CQ11" s="1152">
        <f t="shared" ref="CQ11" si="42">IF(CO11&gt;=0,CO11,0)</f>
        <v>0.72627956205554667</v>
      </c>
      <c r="CR11" s="1153">
        <f t="shared" ref="CR11" si="43">IF(CP11&gt;=0,CP11,0)</f>
        <v>0.7252321832262294</v>
      </c>
      <c r="CS11" s="1137">
        <f t="shared" ref="CS11" si="44">IF(AJ11=1,0.792,IF(AJ11=2,0.794,IF(AJ11=3,0.796,IF(AJ11=4,0.796,0.799))))</f>
        <v>0.79600000000000004</v>
      </c>
      <c r="CT11" s="956">
        <f t="shared" ref="CT11" si="45">IF(AJ11=1,321.34,IF(AJ11=2,88.025,IF(AJ11=3,32.189,IF(AJ11=4,16.945,7.47))))</f>
        <v>16.945</v>
      </c>
      <c r="CU11" s="956">
        <f t="shared" ref="CU11" si="46">IF(AJ11=1,-12.99,IF(AJ11=2,-12.061,IF(AJ11=3,-11.297,IF(AJ11=4,-10.79,-10.1))))</f>
        <v>-10.79</v>
      </c>
      <c r="CV11" s="956">
        <f t="shared" ref="CV11" si="47">IF(AN11=1,0.0005,IF(AN11=2,0.001,0))</f>
        <v>0</v>
      </c>
      <c r="CW11" s="956">
        <f t="shared" ref="CW11" si="48">IF(AN11=1,5.23253292,IF(AN11=2,2.31849414,9.3587152))</f>
        <v>9.3587152000000007</v>
      </c>
      <c r="CX11" s="956">
        <f t="shared" ref="CX11" si="49">IF(AN11=1,-9.850864,IF(AN11=2,-9.25634,-10.275524))</f>
        <v>-10.275524000000001</v>
      </c>
      <c r="CY11" s="1154">
        <f t="shared" ref="CY11" si="50">AC11</f>
        <v>1.3194883688242323</v>
      </c>
      <c r="CZ11" s="1155">
        <f t="shared" ref="CZ11" si="51">IF(AJ11&gt;=4,0.994-(CS11+CV11)*EXP(-CW11*POWER(CY11,CX11)),0.994-CS11*EXP(-CT11*POWER(CY11,CU11)))</f>
        <v>0.53105149114573058</v>
      </c>
      <c r="DA11" s="1137" t="e">
        <f>MIN(VLOOKUP(AP11,'CROP FACTORS'!$C$5:$N$130,2,FALSE),VLOOKUP(AQ11,'CROP FACTORS'!$C$5:$N$130,2,FALSE))</f>
        <v>#N/A</v>
      </c>
      <c r="DB11" s="956" t="e">
        <f>MIN(VLOOKUP(AP11,'CROP FACTORS'!$C$5:$N$130,4,FALSE),VLOOKUP(AQ11,'CROP FACTORS'!$C$5:$N$130,4,FALSE))</f>
        <v>#N/A</v>
      </c>
      <c r="DC11" s="1156" t="e">
        <f t="shared" ref="DC11" si="52">(0.5091-161.58*DB11)/(1+484.2*DB11-16.14*POWER(DB11,2))</f>
        <v>#N/A</v>
      </c>
      <c r="DD11" s="1138">
        <f t="shared" ref="DD11" si="53">IF(AJ11=5,1.25,IF(AJ11=4,1.22,IF(AJ11=3,1.18,IF(AJ11=2, 1.07,1))))</f>
        <v>1.22</v>
      </c>
      <c r="DE11" s="1157" t="str">
        <f t="shared" ref="DE11" si="54">AD11</f>
        <v>.</v>
      </c>
      <c r="DF11" s="1138" t="e">
        <f t="shared" ref="DF11" si="55">IF(AND(AU11=1,DE11&lt;0.3),3.33*DE11,IF(AND(AU11=1,DE11&gt;DA11),DC11*DE11+(1-DC11*DA11),IF(AND(AU11=2,DE11&lt;0.0017),5.88*DE11,IF(AND(AU11=2,DE11&gt;(DA11/1.77)*DD11),DC11*DE11+(1-DC11*(DA11/1.77)*DD11),1))))</f>
        <v>#N/A</v>
      </c>
      <c r="DG11" s="1158" t="e">
        <f t="shared" ref="DG11" si="56">IF(DF11&lt;0,0,IF(DF11&gt;1,1,DF11))</f>
        <v>#N/A</v>
      </c>
      <c r="DH11" s="1159" t="str">
        <f t="shared" ref="DH11" si="57">AE11</f>
        <v>.</v>
      </c>
      <c r="DI11" s="1153" t="e">
        <f t="shared" ref="DI11" si="58">IF(DE11&lt;0.2,1/(4.056+0.793*POWER(DH11,3.05)),IF(AND(DE11&gt;=0.2,DE11&lt;0.55),0.8+0.01298857*DH11-0.067*DH11*DH11+0.0257*POWER(DH11,3)-0.00536*POWER(DH11,4)+0.000547*POWER(DH11,5)-0.0000211*POWER(DH11,6),1-0.0702*DH11+0.0105*POWER(DH11,2)-0.00068*POWER(DH11,3)-0.0000239*POWER(DH11,4)))</f>
        <v>#VALUE!</v>
      </c>
      <c r="DJ11" s="1133">
        <f t="shared" ref="DJ11" si="59">IF(AH11=1,0.9,IF(AH11=2,2.9,IF(AH11=3,3.8,5.8)))</f>
        <v>5.8</v>
      </c>
      <c r="DK11" s="1160">
        <f t="shared" ref="DK11" si="60">IF(AJ11=1,4,IF(AJ11=2,2.9,IF(AJ11=3,2.8,IF(AJ11=4,2.7,1.3))))</f>
        <v>2.7</v>
      </c>
      <c r="DL11" s="1134">
        <f t="shared" ref="DL11" si="61">IF(AK11=1,2.1,IF(AK11=2,0.85,IF(AK11=3,0.7,0.45)))</f>
        <v>2.1</v>
      </c>
      <c r="DM11" s="1161">
        <f t="shared" ref="DM11" si="62">AF11</f>
        <v>45.078731321218172</v>
      </c>
      <c r="DN11" s="1144">
        <f t="shared" ref="DN11" si="63">(DJ11*DK11)+(DJ11*DK11*DL11)</f>
        <v>48.546000000000006</v>
      </c>
      <c r="DO11" s="1162">
        <f t="shared" ref="DO11" si="64">1.01/(1+48.4*EXP(-DN11*(DM11/1000)))</f>
        <v>0.15718652150720461</v>
      </c>
      <c r="DP11" s="1163">
        <f t="shared" ref="DP11" si="65">IF(DO11&gt;1,1,DO11)</f>
        <v>0.15718652150720461</v>
      </c>
      <c r="DQ11" s="1133">
        <f t="shared" ref="DQ11" si="66">IF(AJ11=1,1.0541,IF(AJ11=2,1.0541,IF(AJ11=3,1.0745,IF(AJ11=4,1.0745,IF(AJ11=5,1.0745)))))</f>
        <v>1.0745</v>
      </c>
      <c r="DR11" s="1134">
        <f t="shared" ref="DR11" si="67">IF(AJ11=1,-0.00981,IF(AJ11=2,-0.00981,IF(AJ11=3,-0.01343,IF(AJ11=4,-0.01343,IF(AJ11=5,-0.01343)))))</f>
        <v>-1.3429999999999999E-2</v>
      </c>
      <c r="DS11" s="1164">
        <f t="shared" ref="DS11" si="68">AG11</f>
        <v>35.972000000000001</v>
      </c>
      <c r="DT11" s="1146">
        <f t="shared" ref="DT11" si="69">IF(DQ11*(1-EXP(DR11*DS11))&lt;1, (DQ11*(1-EXP(DR11*DS11))), 1)</f>
        <v>0.41167781536134807</v>
      </c>
      <c r="DU11" s="1165">
        <f t="shared" ref="DU11" si="70">AZ11</f>
        <v>0.9428279401977181</v>
      </c>
      <c r="DV11" s="1166">
        <f t="shared" ref="DV11" si="71">BF11</f>
        <v>1</v>
      </c>
      <c r="DW11" s="1166">
        <f t="shared" ref="DW11" si="72">BN11</f>
        <v>0.97586775341779264</v>
      </c>
      <c r="DX11" s="1166"/>
      <c r="DY11" s="1166">
        <f t="shared" ref="DY11" si="73">BW11</f>
        <v>0.99989918508216535</v>
      </c>
      <c r="DZ11" s="1166">
        <f t="shared" ref="DZ11" si="74">CQ11</f>
        <v>0.72627956205554667</v>
      </c>
      <c r="EA11" s="1138"/>
      <c r="EB11" s="1166">
        <f>CZ11</f>
        <v>0.53105149114573058</v>
      </c>
      <c r="EC11" s="1166"/>
      <c r="ED11" s="1138"/>
      <c r="EE11" s="1166">
        <f t="shared" ref="EE11" si="75">DP11</f>
        <v>0.15718652150720461</v>
      </c>
      <c r="EF11" s="1140">
        <f t="shared" ref="EF11" si="76">DT11</f>
        <v>0.41167781536134807</v>
      </c>
      <c r="EG11" s="1159">
        <f>SUM(DU11:DZ11,EB11:EC11,EE11:EF11)</f>
        <v>5.744790268767507</v>
      </c>
      <c r="EH11" s="1167">
        <f t="shared" ref="EH11" si="77">SUM(COUNTIF(DU11:DZ11, "&gt;=0"),COUNTIF(EB11:EC11,"&gt;=0"),COUNTIF(EE11:EF11,"&gt;=0"))</f>
        <v>8</v>
      </c>
      <c r="EI11" s="1312">
        <f t="shared" ref="EI11" si="78">EG11/EH11</f>
        <v>0.71809878359593837</v>
      </c>
      <c r="EJ11" s="1168">
        <f>SUM(EB11,DV11)</f>
        <v>1.5310514911457305</v>
      </c>
      <c r="EK11" s="1169">
        <f>SUM(COUNTIF(DV11,"&gt;0"),COUNTIF(EB11,"&gt;0"))</f>
        <v>2</v>
      </c>
      <c r="EL11" s="1170">
        <f t="shared" ref="EL11" si="79">EJ11/EK11</f>
        <v>0.76552574557286523</v>
      </c>
      <c r="EM11" s="1159">
        <f>SUM(DY11,EC11)</f>
        <v>0.99989918508216535</v>
      </c>
      <c r="EN11" s="1167">
        <f>SUM(COUNTIF(DY11,"&gt;0"),COUNTIF(EC11,"&gt;0"))</f>
        <v>1</v>
      </c>
      <c r="EO11" s="1171">
        <f t="shared" ref="EO11" si="80">EM11/EN11</f>
        <v>0.99989918508216535</v>
      </c>
      <c r="EP11" s="1168">
        <f>SUM(DU11,DW11,DX11,EE11)</f>
        <v>2.0758822151227156</v>
      </c>
      <c r="EQ11" s="1169">
        <f>SUM(COUNTIF(DU11, "&gt;0"),COUNTIF(DW11:DX11,"&gt;0"),COUNTIF(EE11,"&gt;0"))</f>
        <v>3</v>
      </c>
      <c r="ER11" s="1146">
        <f t="shared" ref="ER11" si="81">EP11/EQ11</f>
        <v>0.69196073837423855</v>
      </c>
      <c r="ES11" s="1159">
        <f>SUM(EF11,DZ11)</f>
        <v>1.1379573774168947</v>
      </c>
      <c r="ET11" s="1167">
        <f>SUM(COUNTIF(DZ11,"&gt;0"),COUNTIF(EF11,"&gt;0"))</f>
        <v>2</v>
      </c>
      <c r="EU11" s="1155">
        <f t="shared" ref="EU11" si="82">ES11/ET11</f>
        <v>0.56897868870844737</v>
      </c>
      <c r="EV11" s="1159">
        <f>SUM(EM11,ES11)</f>
        <v>2.13785656249906</v>
      </c>
      <c r="EW11" s="1167">
        <f>SUM(EN11,ET11)</f>
        <v>3</v>
      </c>
      <c r="EX11" s="1155">
        <f t="shared" ref="EX11" si="83">EV11/EW11</f>
        <v>0.71261885416635329</v>
      </c>
    </row>
    <row r="12" spans="1:154" ht="16" thickBot="1">
      <c r="B12" s="1218" t="s">
        <v>1263</v>
      </c>
      <c r="C12" s="1219">
        <v>2</v>
      </c>
      <c r="D12" s="1220" t="s">
        <v>1264</v>
      </c>
      <c r="E12" s="1220" t="s">
        <v>1265</v>
      </c>
      <c r="F12" s="1221" t="s">
        <v>1266</v>
      </c>
      <c r="G12" s="1172"/>
      <c r="H12" s="1173"/>
      <c r="I12" s="1173"/>
      <c r="J12" s="1174"/>
      <c r="K12" s="1175"/>
      <c r="L12" s="1176"/>
      <c r="M12" s="1177"/>
      <c r="N12" s="1178"/>
      <c r="O12" s="1334"/>
      <c r="P12" s="1127"/>
      <c r="Q12" s="1128"/>
      <c r="R12" s="1179"/>
      <c r="S12" s="1130"/>
      <c r="T12" s="1131"/>
      <c r="U12" s="1132"/>
      <c r="V12" s="1278">
        <v>35.4</v>
      </c>
      <c r="W12" s="1262">
        <v>1.6299999999999997</v>
      </c>
      <c r="X12" s="1283">
        <v>92.16</v>
      </c>
      <c r="Y12" s="1272">
        <v>534.15267659170104</v>
      </c>
      <c r="Z12" s="1255" t="s">
        <v>1058</v>
      </c>
      <c r="AA12" s="1277">
        <v>4.2092000000000001</v>
      </c>
      <c r="AB12" s="1261">
        <v>6.4</v>
      </c>
      <c r="AC12" s="1282">
        <v>1.2032937428256847</v>
      </c>
      <c r="AD12" s="1271" t="s">
        <v>1058</v>
      </c>
      <c r="AE12" s="1271" t="s">
        <v>1058</v>
      </c>
      <c r="AF12" s="1254">
        <v>42.430496682804375</v>
      </c>
      <c r="AG12" s="1282">
        <v>46.92</v>
      </c>
      <c r="AH12" s="1253">
        <v>4</v>
      </c>
      <c r="AI12" s="1253">
        <v>4</v>
      </c>
      <c r="AJ12" s="1253">
        <v>4</v>
      </c>
      <c r="AK12" s="1253">
        <v>1</v>
      </c>
      <c r="AL12" s="1253">
        <v>2</v>
      </c>
      <c r="AM12" s="1253">
        <v>2</v>
      </c>
      <c r="AN12" s="1253">
        <v>3</v>
      </c>
      <c r="AO12" s="1253">
        <v>2</v>
      </c>
      <c r="AP12" s="1253">
        <v>107</v>
      </c>
      <c r="AQ12" s="1253"/>
      <c r="AR12" s="1253">
        <v>2</v>
      </c>
      <c r="AS12" s="1253">
        <v>5</v>
      </c>
      <c r="AT12" s="1253">
        <v>2</v>
      </c>
      <c r="AU12" s="1253"/>
      <c r="AV12" s="1133">
        <f t="shared" ref="AV12:AV75" si="84">IF(AH12=1,0.3,IF(AH12=2,1.55,IF(AH12=3,2.17,3.81)))</f>
        <v>3.81</v>
      </c>
      <c r="AW12" s="1134">
        <f t="shared" ref="AW12:AW75" si="85">IF(AJ12=1,1.6,IF(AJ12=2,1.25,IF(AJ12=3,1.1,IF(AJ12=4,1.05,1))))</f>
        <v>1.05</v>
      </c>
      <c r="AX12" s="1134">
        <f t="shared" ref="AX12:AX75" si="86">IF(AK12=1,0.15,IF(AK12=2,0.05,IF(AK12=3,-0.05,-0.1)))</f>
        <v>0.15</v>
      </c>
      <c r="AY12" s="1135">
        <f t="shared" ref="AY12:AY75" si="87">W12</f>
        <v>1.6299999999999997</v>
      </c>
      <c r="AZ12" s="1136">
        <f t="shared" ref="AZ12:AZ75" si="88">1/(1+50.1*EXP(-((AV12*AW12)+(AV12*AW12*AX12))*AY12))</f>
        <v>0.97300969298287532</v>
      </c>
      <c r="BA12" s="1137">
        <f t="shared" ref="BA12:BA75" si="89">IF(AH12=1,1.2211054,IF(AH12=2,1.0715387,IF(AH12=3,1.0199112,0.8999381)))</f>
        <v>0.89993809999999996</v>
      </c>
      <c r="BB12" s="956">
        <f t="shared" ref="BB12:BB75" si="90">IF(AJ12=1,0.87,IF(AJ12=2,1.06,IF(AJ12=3,1,IF(AJ12=4,1.16,1.25))))</f>
        <v>1.1599999999999999</v>
      </c>
      <c r="BC12" s="1138">
        <f t="shared" ref="BC12:BC75" si="91">IF(AL12=1,1.1,1)</f>
        <v>1</v>
      </c>
      <c r="BD12" s="1139">
        <f t="shared" ref="BD12:BD75" si="92">X12</f>
        <v>92.16</v>
      </c>
      <c r="BE12" s="1138">
        <f t="shared" ref="BE12:BE75" si="93">-0.793+(1.7993*COS((0.0196*BD12-(BA12*BB12*BC12))))</f>
        <v>0.50820899954771648</v>
      </c>
      <c r="BF12" s="1140">
        <f t="shared" ref="BF12:BF75" si="94">IF(BD12&gt;50,1,IF(BE12&gt;0,BE12,IF(BE12&lt;0,0)))</f>
        <v>1</v>
      </c>
      <c r="BG12" s="1137">
        <f t="shared" ref="BG12:BG75" si="95">IF(AH12=1,0.0062097,IF(AH12=2,0.012419,IF(AH12=3,0.02,0.03)))</f>
        <v>0.03</v>
      </c>
      <c r="BH12" s="956">
        <f t="shared" ref="BH12:BH75" si="96">IF(AJ12=1,1.5,IF(AJ12=2,1.35,IF(AJ12=3,1.2,IF(AJ12=4,1,0.9))))</f>
        <v>1</v>
      </c>
      <c r="BI12" s="956">
        <f t="shared" ref="BI12:BI75" si="97">IF(BJ12&gt;0,BJ12,IF(BK12&gt;0,BK12,BL12))</f>
        <v>1.08</v>
      </c>
      <c r="BJ12" s="956">
        <f t="shared" ref="BJ12:BJ75" si="98">IF(AM12=1,1,IF(AND(AM12=3,AK12=1),1.02,IF(AND(AM12=3,AK12=2),1.025,IF(AND(AM12=3,AK12=3),1.03,IF(AND(AM12=3,AK12=4),1.035,IF(OR(AM12=2,AM12=4),0,9000))))))</f>
        <v>0</v>
      </c>
      <c r="BK12" s="956">
        <f t="shared" ref="BK12:BK75" si="99">IF(AM12=1,0,IF(AM12=3,0,IF(AM12=4,0,IF(AND(AM12=2,AK12=1),1.08,IF(AND(AM12=2,AK12=2),1.07,IF(AND(AM12=2,AK12=3),1.06,IF(AND(AM12=2,AK12=4),1.05,1000)))))))</f>
        <v>1.08</v>
      </c>
      <c r="BL12" s="956">
        <f t="shared" ref="BL12:BL75" si="100">IF(OR(AM12=1,AM12=3),0,IF(AM12=2,0,IF(AND(AM12=4,AK12=1),1.12,IF(AND(AM12=4,AK12=2),1.1,IF(AND(AM12=4,AK12=3),1.08,IF(AND(AM12=4,AK12=4),1.06,700))))))</f>
        <v>0</v>
      </c>
      <c r="BM12" s="1141">
        <f t="shared" ref="BM12:BM75" si="101">Y12</f>
        <v>534.15267659170104</v>
      </c>
      <c r="BN12" s="1142">
        <f t="shared" ref="BN12:BN75" si="102">1/(1+40.748*EXP(-(BG12*BH12*BI12)*BM12))</f>
        <v>0.99999875843913077</v>
      </c>
      <c r="BO12" s="1143">
        <f t="shared" ref="BO12:BO75" si="103">IF(AH12=1,0.254995,IF(AH12=2,0.299255,IF(AH12=3,0.35467,0.432275)))</f>
        <v>0.43227500000000002</v>
      </c>
      <c r="BP12" s="1144">
        <f t="shared" ref="BP12:BP75" si="104">IF(AJ12=1,1.15,IF(OR(AJ12=2,AJ12=3),1,IF(AJ12=4,0.9,0.85)))</f>
        <v>0.9</v>
      </c>
      <c r="BQ12" s="1134">
        <f t="shared" ref="BQ12:BQ75" si="105">IF(AK12=1,0.9,IF(AK12=2,0.95,IF(AK12=3,1,1.05)))</f>
        <v>0.9</v>
      </c>
      <c r="BR12" s="1145" t="str">
        <f t="shared" ref="BR12:BR75" si="106">Z12</f>
        <v>.</v>
      </c>
      <c r="BS12" s="1146" t="e">
        <f t="shared" ref="BS12:BS75" si="107">1/(1+161.32*EXP(-((BO12*BP12)+(BO12*BP12*BQ12))*BR12))</f>
        <v>#VALUE!</v>
      </c>
      <c r="BT12" s="1147">
        <f>VLOOKUP(AP12,'CROP FACTORS'!$C$5:$N$130,7,FALSE)</f>
        <v>4.5</v>
      </c>
      <c r="BU12" s="1148">
        <f>VLOOKUP(AP12,'CROP FACTORS'!$C$5:$P$130,8,FALSE)</f>
        <v>1</v>
      </c>
      <c r="BV12" s="1149">
        <f t="shared" ref="BV12:BV75" si="108">AA12</f>
        <v>4.2092000000000001</v>
      </c>
      <c r="BW12" s="1150">
        <f t="shared" ref="BW12:BW75" si="109">1*EXP(-(POWER(BV12-BT12,2))/(2*POWER(BU12,2)))</f>
        <v>0.95859911066559522</v>
      </c>
      <c r="BX12" s="1137">
        <f>VLOOKUP(AP12,'CROP FACTORS'!$C$5:$N$130,10,FALSE)</f>
        <v>6</v>
      </c>
      <c r="BY12" s="1138">
        <f t="shared" ref="BY12:BY75" si="110">213.96744-39.579185*BX12+2.3020512*BX12*BX12</f>
        <v>59.366173199999992</v>
      </c>
      <c r="BZ12" s="956">
        <f t="shared" ref="BZ12:BZ75" si="111">IF(AH12=1,0.125,IF(AH12=2,0.025,IF(AH12=3,0.0175,0.01)))</f>
        <v>0.01</v>
      </c>
      <c r="CA12" s="956">
        <f t="shared" ref="CA12:CA75" si="112">IF(AJ12=1,0.98,IF(AJ12=2,0.99,IF(AJ12=3,1,IF(AJ12=4,1.01,1.03))))</f>
        <v>1.01</v>
      </c>
      <c r="CB12" s="1148">
        <f t="shared" ref="CB12:CB75" si="113">BY12+(BY12*AY12/100)*CA12</f>
        <v>60.343518509391593</v>
      </c>
      <c r="CC12" s="1148">
        <f t="shared" ref="CC12:CC75" si="114">(BY12+(BY12*BZ12))*CA12</f>
        <v>60.55943328131999</v>
      </c>
      <c r="CD12" s="956">
        <f t="shared" ref="CD12:CD75" si="115">IF(AR12=1,160,IF(AR12=2,140,IF(AR12=3,115,IF(AR12=4,85,60))))</f>
        <v>140</v>
      </c>
      <c r="CE12" s="956">
        <f t="shared" ref="CE12:CE75" si="116">IF(AR12=1,110000,IF(AR12=2,90000,IF(AR12=3,70000,IF(AR12=4,35000,20000))))</f>
        <v>90000</v>
      </c>
      <c r="CF12" s="956">
        <f t="shared" ref="CF12:CF75" si="117">IF(AJ12=1,0.9,IF(AJ12=2,1,IF(AJ12=3,1.1,IF(AJ12=4,1.4,1.6))))</f>
        <v>1.4</v>
      </c>
      <c r="CG12" s="956">
        <f t="shared" ref="CG12:CG75" si="118">IF(AH12=1,0.25,IF(AH12=2,0.05,IF(AH12=3,0.035,0.02)))</f>
        <v>0.02</v>
      </c>
      <c r="CH12" s="956">
        <f t="shared" ref="CH12:CH75" si="119">(CE12+CE12*AY12/100)*CF12</f>
        <v>128053.79999999999</v>
      </c>
      <c r="CI12" s="956">
        <f t="shared" ref="CI12:CI75" si="120">(CE12+CE12*CG12)*CF12</f>
        <v>128519.99999999999</v>
      </c>
      <c r="CJ12" s="1138">
        <f t="shared" ref="CJ12:CJ75" si="121">IF(AT12=1,CK12,IF(AT12=2,CL12,CM12))</f>
        <v>1.25</v>
      </c>
      <c r="CK12" s="1138">
        <f t="shared" ref="CK12:CK75" si="122">IF(AS12=1,2,IF(AS12=2,1,IF(AS12=3,1.8,IF(AS12=4,2.4,IF(AS12=5,2.1,2.3)))))</f>
        <v>2.1</v>
      </c>
      <c r="CL12" s="1138">
        <f t="shared" ref="CL12:CL75" si="123">IF(AS12=1,1.4,IF(AS12=2,1,IF(AS12=3,0.66,IF(AS12=4,1.8,IF(AS12=5,1.25,3.66)))))</f>
        <v>1.25</v>
      </c>
      <c r="CM12" s="1138">
        <f t="shared" ref="CM12:CM75" si="124">IF(AS12=1,1.35,IF(AS12=2,1,IF(AS12=3,1,IF(AS12=4,1.7,IF(AS12=5,1.25,1.5)))))</f>
        <v>1.25</v>
      </c>
      <c r="CN12" s="1151">
        <f t="shared" ref="CN12:CN75" si="125">AB12</f>
        <v>6.4</v>
      </c>
      <c r="CO12" s="1138">
        <f t="shared" ref="CO12:CO75" si="126">IF(CN12*CJ12&lt;=(BX12+6),(0.00000925*CB12+1*POWER(CN12*CJ12,3.06))/(CB12+POWER(CN12*CJ12,3.06)),IF(CN12*CJ12&gt;CD12,1-4.5*EXP(-CH12*POWER(CN12*CJ12,-2)),1))</f>
        <v>0.90577008347408949</v>
      </c>
      <c r="CP12" s="1138">
        <f t="shared" ref="CP12:CP75" si="127">IF(CN12*CJ12&lt;=(BX12+6),(0.00000925*CC12+1*POWER(CN12*CJ12,3.06))/(CC12+POWER(CN12*CJ12,3.06)),IF(CN12*CJ12&gt;CD12,1-4.5*EXP(-CI12*POWER(CN12*CJ12,-2)),1))</f>
        <v>0.90546479410433445</v>
      </c>
      <c r="CQ12" s="1152">
        <f t="shared" ref="CQ12:CQ75" si="128">IF(CO12&gt;=0,CO12,0)</f>
        <v>0.90577008347408949</v>
      </c>
      <c r="CR12" s="1153">
        <f t="shared" ref="CR12:CR75" si="129">IF(CP12&gt;=0,CP12,0)</f>
        <v>0.90546479410433445</v>
      </c>
      <c r="CS12" s="1137">
        <f t="shared" ref="CS12:CS75" si="130">IF(AJ12=1,0.792,IF(AJ12=2,0.794,IF(AJ12=3,0.796,IF(AJ12=4,0.796,0.799))))</f>
        <v>0.79600000000000004</v>
      </c>
      <c r="CT12" s="956">
        <f t="shared" ref="CT12:CT75" si="131">IF(AJ12=1,321.34,IF(AJ12=2,88.025,IF(AJ12=3,32.189,IF(AJ12=4,16.945,7.47))))</f>
        <v>16.945</v>
      </c>
      <c r="CU12" s="956">
        <f t="shared" ref="CU12:CU75" si="132">IF(AJ12=1,-12.99,IF(AJ12=2,-12.061,IF(AJ12=3,-11.297,IF(AJ12=4,-10.79,-10.1))))</f>
        <v>-10.79</v>
      </c>
      <c r="CV12" s="956">
        <f t="shared" ref="CV12:CV75" si="133">IF(AN12=1,0.0005,IF(AN12=2,0.001,0))</f>
        <v>0</v>
      </c>
      <c r="CW12" s="956">
        <f t="shared" ref="CW12:CW75" si="134">IF(AN12=1,5.23253292,IF(AN12=2,2.31849414,9.3587152))</f>
        <v>9.3587152000000007</v>
      </c>
      <c r="CX12" s="956">
        <f t="shared" ref="CX12:CX75" si="135">IF(AN12=1,-9.850864,IF(AN12=2,-9.25634,-10.275524))</f>
        <v>-10.275524000000001</v>
      </c>
      <c r="CY12" s="1154">
        <f t="shared" ref="CY12:CY75" si="136">AC12</f>
        <v>1.2032937428256847</v>
      </c>
      <c r="CZ12" s="1155">
        <f t="shared" ref="CZ12:CZ75" si="137">IF(AJ12&gt;=4,0.994-(CS12+CV12)*EXP(-CW12*POWER(CY12,CX12)),0.994-CS12*EXP(-CT12*POWER(CY12,CU12)))</f>
        <v>0.79721969760015043</v>
      </c>
      <c r="DA12" s="1137" t="e">
        <f>MIN(VLOOKUP(AP12,'CROP FACTORS'!$C$5:$N$130,2,FALSE),VLOOKUP(AQ12,'CROP FACTORS'!$C$5:$N$130,2,FALSE))</f>
        <v>#N/A</v>
      </c>
      <c r="DB12" s="956" t="e">
        <f>MIN(VLOOKUP(AP12,'CROP FACTORS'!$C$5:$N$130,4,FALSE),VLOOKUP(AQ12,'CROP FACTORS'!$C$5:$N$130,4,FALSE))</f>
        <v>#N/A</v>
      </c>
      <c r="DC12" s="1156" t="e">
        <f t="shared" ref="DC12:DC75" si="138">(0.5091-161.58*DB12)/(1+484.2*DB12-16.14*POWER(DB12,2))</f>
        <v>#N/A</v>
      </c>
      <c r="DD12" s="1138">
        <f t="shared" ref="DD12:DD75" si="139">IF(AJ12=5,1.25,IF(AJ12=4,1.22,IF(AJ12=3,1.18,IF(AJ12=2, 1.07,1))))</f>
        <v>1.22</v>
      </c>
      <c r="DE12" s="1157" t="str">
        <f t="shared" ref="DE12:DE75" si="140">AD12</f>
        <v>.</v>
      </c>
      <c r="DF12" s="1138" t="e">
        <f t="shared" ref="DF12:DF75" si="141">IF(AND(AU12=1,DE12&lt;0.3),3.33*DE12,IF(AND(AU12=1,DE12&gt;DA12),DC12*DE12+(1-DC12*DA12),IF(AND(AU12=2,DE12&lt;0.0017),5.88*DE12,IF(AND(AU12=2,DE12&gt;(DA12/1.77)*DD12),DC12*DE12+(1-DC12*(DA12/1.77)*DD12),1))))</f>
        <v>#N/A</v>
      </c>
      <c r="DG12" s="1158" t="e">
        <f t="shared" ref="DG12:DG75" si="142">IF(DF12&lt;0,0,IF(DF12&gt;1,1,DF12))</f>
        <v>#N/A</v>
      </c>
      <c r="DH12" s="1159" t="str">
        <f t="shared" ref="DH12:DH75" si="143">AE12</f>
        <v>.</v>
      </c>
      <c r="DI12" s="1153" t="e">
        <f t="shared" ref="DI12:DI75" si="144">IF(DE12&lt;0.2,1/(4.056+0.793*POWER(DH12,3.05)),IF(AND(DE12&gt;=0.2,DE12&lt;0.55),0.8+0.01298857*DH12-0.067*DH12*DH12+0.0257*POWER(DH12,3)-0.00536*POWER(DH12,4)+0.000547*POWER(DH12,5)-0.0000211*POWER(DH12,6),1-0.0702*DH12+0.0105*POWER(DH12,2)-0.00068*POWER(DH12,3)-0.0000239*POWER(DH12,4)))</f>
        <v>#VALUE!</v>
      </c>
      <c r="DJ12" s="1133">
        <f t="shared" ref="DJ12:DJ75" si="145">IF(AH12=1,0.9,IF(AH12=2,2.9,IF(AH12=3,3.8,5.8)))</f>
        <v>5.8</v>
      </c>
      <c r="DK12" s="1160">
        <f t="shared" ref="DK12:DK75" si="146">IF(AJ12=1,4,IF(AJ12=2,2.9,IF(AJ12=3,2.8,IF(AJ12=4,2.7,1.3))))</f>
        <v>2.7</v>
      </c>
      <c r="DL12" s="1134">
        <f t="shared" ref="DL12:DL75" si="147">IF(AK12=1,2.1,IF(AK12=2,0.85,IF(AK12=3,0.7,0.45)))</f>
        <v>2.1</v>
      </c>
      <c r="DM12" s="1161">
        <f t="shared" ref="DM12:DM75" si="148">AF12</f>
        <v>42.430496682804375</v>
      </c>
      <c r="DN12" s="1144">
        <f t="shared" ref="DN12:DN75" si="149">(DJ12*DK12)+(DJ12*DK12*DL12)</f>
        <v>48.546000000000006</v>
      </c>
      <c r="DO12" s="1162">
        <f t="shared" ref="DO12:DO75" si="150">1.01/(1+48.4*EXP(-DN12*(DM12/1000)))</f>
        <v>0.14086834051172845</v>
      </c>
      <c r="DP12" s="1163">
        <f t="shared" ref="DP12:DP75" si="151">IF(DO12&gt;1,1,DO12)</f>
        <v>0.14086834051172845</v>
      </c>
      <c r="DQ12" s="1133">
        <f t="shared" ref="DQ12:DQ75" si="152">IF(AJ12=1,1.0541,IF(AJ12=2,1.0541,IF(AJ12=3,1.0745,IF(AJ12=4,1.0745,IF(AJ12=5,1.0745)))))</f>
        <v>1.0745</v>
      </c>
      <c r="DR12" s="1134">
        <f t="shared" ref="DR12:DR75" si="153">IF(AJ12=1,-0.00981,IF(AJ12=2,-0.00981,IF(AJ12=3,-0.01343,IF(AJ12=4,-0.01343,IF(AJ12=5,-0.01343)))))</f>
        <v>-1.3429999999999999E-2</v>
      </c>
      <c r="DS12" s="1164">
        <f t="shared" ref="DS12:DS75" si="154">AG12</f>
        <v>46.92</v>
      </c>
      <c r="DT12" s="1146">
        <f t="shared" ref="DT12:DT75" si="155">IF(DQ12*(1-EXP(DR12*DS12))&lt;1, (DQ12*(1-EXP(DR12*DS12))), 1)</f>
        <v>0.50230770435416927</v>
      </c>
      <c r="DU12" s="1165">
        <f t="shared" ref="DU12:DU75" si="156">AZ12</f>
        <v>0.97300969298287532</v>
      </c>
      <c r="DV12" s="1166">
        <f t="shared" ref="DV12:DV75" si="157">BF12</f>
        <v>1</v>
      </c>
      <c r="DW12" s="1166">
        <f t="shared" ref="DW12:DW75" si="158">BN12</f>
        <v>0.99999875843913077</v>
      </c>
      <c r="DX12" s="1166"/>
      <c r="DY12" s="1166">
        <f t="shared" ref="DY12:DY75" si="159">BW12</f>
        <v>0.95859911066559522</v>
      </c>
      <c r="DZ12" s="1166">
        <f t="shared" ref="DZ12:DZ75" si="160">CQ12</f>
        <v>0.90577008347408949</v>
      </c>
      <c r="EA12" s="1138"/>
      <c r="EB12" s="1166">
        <f t="shared" ref="EB12:EB75" si="161">CZ12</f>
        <v>0.79721969760015043</v>
      </c>
      <c r="EC12" s="1166"/>
      <c r="ED12" s="1138"/>
      <c r="EE12" s="1166">
        <f t="shared" ref="EE12:EE75" si="162">DP12</f>
        <v>0.14086834051172845</v>
      </c>
      <c r="EF12" s="1140">
        <f t="shared" ref="EF12:EF75" si="163">DT12</f>
        <v>0.50230770435416927</v>
      </c>
      <c r="EG12" s="1159">
        <f t="shared" ref="EG12:EG75" si="164">SUM(DU12:DZ12,EB12:EC12,EE12:EF12)</f>
        <v>6.2777733880277395</v>
      </c>
      <c r="EH12" s="1167">
        <f t="shared" ref="EH12:EH75" si="165">SUM(COUNTIF(DU12:DZ12, "&gt;=0"),COUNTIF(EB12:EC12,"&gt;=0"),COUNTIF(EE12:EF12,"&gt;=0"))</f>
        <v>8</v>
      </c>
      <c r="EI12" s="1312">
        <f t="shared" ref="EI12:EI75" si="166">EG12/EH12</f>
        <v>0.78472167350346744</v>
      </c>
      <c r="EJ12" s="1168">
        <f t="shared" ref="EJ12:EJ75" si="167">SUM(EB12,DV12)</f>
        <v>1.7972196976001504</v>
      </c>
      <c r="EK12" s="1169">
        <f t="shared" ref="EK12:EK75" si="168">SUM(COUNTIF(DV12,"&gt;0"),COUNTIF(EB12,"&gt;0"))</f>
        <v>2</v>
      </c>
      <c r="EL12" s="1170">
        <f t="shared" ref="EL12:EL75" si="169">EJ12/EK12</f>
        <v>0.89860984880007522</v>
      </c>
      <c r="EM12" s="1159">
        <f t="shared" ref="EM12:EM75" si="170">SUM(DY12,EC12)</f>
        <v>0.95859911066559522</v>
      </c>
      <c r="EN12" s="1167">
        <f t="shared" ref="EN12:EN75" si="171">SUM(COUNTIF(DY12,"&gt;0"),COUNTIF(EC12,"&gt;0"))</f>
        <v>1</v>
      </c>
      <c r="EO12" s="1171">
        <f t="shared" ref="EO12:EO75" si="172">EM12/EN12</f>
        <v>0.95859911066559522</v>
      </c>
      <c r="EP12" s="1168">
        <f t="shared" ref="EP12:EP75" si="173">SUM(DU12,DW12,DX12,EE12)</f>
        <v>2.1138767919337345</v>
      </c>
      <c r="EQ12" s="1169">
        <f t="shared" ref="EQ12:EQ75" si="174">SUM(COUNTIF(DU12, "&gt;0"),COUNTIF(DW12:DX12,"&gt;0"),COUNTIF(EE12,"&gt;0"))</f>
        <v>3</v>
      </c>
      <c r="ER12" s="1146">
        <f t="shared" ref="ER12:ER75" si="175">EP12/EQ12</f>
        <v>0.70462559731124486</v>
      </c>
      <c r="ES12" s="1159">
        <f t="shared" ref="ES12:ES75" si="176">SUM(EF12,DZ12)</f>
        <v>1.4080777878282587</v>
      </c>
      <c r="ET12" s="1167">
        <f t="shared" ref="ET12:ET75" si="177">SUM(COUNTIF(DZ12,"&gt;0"),COUNTIF(EF12,"&gt;0"))</f>
        <v>2</v>
      </c>
      <c r="EU12" s="1155">
        <f t="shared" ref="EU12:EU75" si="178">ES12/ET12</f>
        <v>0.70403889391412933</v>
      </c>
      <c r="EV12" s="1159">
        <f t="shared" ref="EV12:EV75" si="179">SUM(EM12,ES12)</f>
        <v>2.366676898493854</v>
      </c>
      <c r="EW12" s="1167">
        <f t="shared" ref="EW12:EW75" si="180">SUM(EN12,ET12)</f>
        <v>3</v>
      </c>
      <c r="EX12" s="1155">
        <f t="shared" ref="EX12:EX75" si="181">EV12/EW12</f>
        <v>0.78889229949795137</v>
      </c>
    </row>
    <row r="13" spans="1:154" ht="16" thickTop="1">
      <c r="B13" s="1218" t="s">
        <v>1263</v>
      </c>
      <c r="C13" s="1219">
        <v>3</v>
      </c>
      <c r="D13" s="1220" t="s">
        <v>1264</v>
      </c>
      <c r="E13" s="1220" t="s">
        <v>1265</v>
      </c>
      <c r="F13" s="1221" t="s">
        <v>1266</v>
      </c>
      <c r="G13" s="1180"/>
      <c r="H13" s="1181"/>
      <c r="I13" s="1181"/>
      <c r="J13" s="1174"/>
      <c r="K13" s="1175"/>
      <c r="L13" s="1182"/>
      <c r="M13" s="1183"/>
      <c r="N13" s="1178"/>
      <c r="O13" s="1184"/>
      <c r="P13" s="1127"/>
      <c r="Q13" s="1128"/>
      <c r="R13" s="1179"/>
      <c r="S13" s="1130"/>
      <c r="T13" s="1131"/>
      <c r="U13" s="1132"/>
      <c r="V13" s="1278">
        <v>33</v>
      </c>
      <c r="W13" s="1262">
        <v>1.585</v>
      </c>
      <c r="X13" s="1283">
        <v>93.6</v>
      </c>
      <c r="Y13" s="1272">
        <v>543.00168902136124</v>
      </c>
      <c r="Z13" s="1255" t="s">
        <v>1058</v>
      </c>
      <c r="AA13" s="1277">
        <v>4.2092000000000001</v>
      </c>
      <c r="AB13" s="1261">
        <v>5.6</v>
      </c>
      <c r="AC13" s="1282">
        <v>1.2725185653711903</v>
      </c>
      <c r="AD13" s="1271" t="s">
        <v>1058</v>
      </c>
      <c r="AE13" s="1271" t="s">
        <v>1058</v>
      </c>
      <c r="AF13" s="1254">
        <v>62.54789701860868</v>
      </c>
      <c r="AG13" s="1282">
        <v>36.753999999999998</v>
      </c>
      <c r="AH13" s="1253">
        <v>4</v>
      </c>
      <c r="AI13" s="1253">
        <v>4</v>
      </c>
      <c r="AJ13" s="1253">
        <v>4</v>
      </c>
      <c r="AK13" s="1253">
        <v>1</v>
      </c>
      <c r="AL13" s="1253">
        <v>2</v>
      </c>
      <c r="AM13" s="1253">
        <v>2</v>
      </c>
      <c r="AN13" s="1253">
        <v>3</v>
      </c>
      <c r="AO13" s="1253">
        <v>2</v>
      </c>
      <c r="AP13" s="1253">
        <v>107</v>
      </c>
      <c r="AQ13" s="1253"/>
      <c r="AR13" s="1253">
        <v>2</v>
      </c>
      <c r="AS13" s="1253">
        <v>5</v>
      </c>
      <c r="AT13" s="1253">
        <v>2</v>
      </c>
      <c r="AU13" s="1253"/>
      <c r="AV13" s="1133">
        <f t="shared" si="84"/>
        <v>3.81</v>
      </c>
      <c r="AW13" s="1134">
        <f t="shared" si="85"/>
        <v>1.05</v>
      </c>
      <c r="AX13" s="1134">
        <f t="shared" si="86"/>
        <v>0.15</v>
      </c>
      <c r="AY13" s="1135">
        <f t="shared" si="87"/>
        <v>1.585</v>
      </c>
      <c r="AZ13" s="1136">
        <f t="shared" si="88"/>
        <v>0.96700636351129787</v>
      </c>
      <c r="BA13" s="1137">
        <f t="shared" si="89"/>
        <v>0.89993809999999996</v>
      </c>
      <c r="BB13" s="956">
        <f t="shared" si="90"/>
        <v>1.1599999999999999</v>
      </c>
      <c r="BC13" s="1138">
        <f t="shared" si="91"/>
        <v>1</v>
      </c>
      <c r="BD13" s="1139">
        <f t="shared" si="92"/>
        <v>93.6</v>
      </c>
      <c r="BE13" s="1138">
        <f t="shared" si="93"/>
        <v>0.47262109063536817</v>
      </c>
      <c r="BF13" s="1140">
        <f t="shared" si="94"/>
        <v>1</v>
      </c>
      <c r="BG13" s="1137">
        <f t="shared" si="95"/>
        <v>0.03</v>
      </c>
      <c r="BH13" s="956">
        <f t="shared" si="96"/>
        <v>1</v>
      </c>
      <c r="BI13" s="956">
        <f t="shared" si="97"/>
        <v>1.08</v>
      </c>
      <c r="BJ13" s="956">
        <f t="shared" si="98"/>
        <v>0</v>
      </c>
      <c r="BK13" s="956">
        <f t="shared" si="99"/>
        <v>1.08</v>
      </c>
      <c r="BL13" s="956">
        <f t="shared" si="100"/>
        <v>0</v>
      </c>
      <c r="BM13" s="1141">
        <f t="shared" si="101"/>
        <v>543.00168902136124</v>
      </c>
      <c r="BN13" s="1142">
        <f t="shared" si="102"/>
        <v>0.99999906792159254</v>
      </c>
      <c r="BO13" s="1143">
        <f t="shared" si="103"/>
        <v>0.43227500000000002</v>
      </c>
      <c r="BP13" s="1144">
        <f t="shared" si="104"/>
        <v>0.9</v>
      </c>
      <c r="BQ13" s="1134">
        <f t="shared" si="105"/>
        <v>0.9</v>
      </c>
      <c r="BR13" s="1145" t="str">
        <f t="shared" si="106"/>
        <v>.</v>
      </c>
      <c r="BS13" s="1146" t="e">
        <f t="shared" si="107"/>
        <v>#VALUE!</v>
      </c>
      <c r="BT13" s="1147">
        <f>VLOOKUP(AP13,'CROP FACTORS'!$C$5:$N$130,7,FALSE)</f>
        <v>4.5</v>
      </c>
      <c r="BU13" s="1148">
        <f>VLOOKUP(AP13,'CROP FACTORS'!$C$5:$P$130,8,FALSE)</f>
        <v>1</v>
      </c>
      <c r="BV13" s="1149">
        <f t="shared" si="108"/>
        <v>4.2092000000000001</v>
      </c>
      <c r="BW13" s="1150">
        <f t="shared" si="109"/>
        <v>0.95859911066559522</v>
      </c>
      <c r="BX13" s="1137">
        <f>VLOOKUP(AP13,'CROP FACTORS'!$C$5:$N$130,10,FALSE)</f>
        <v>6</v>
      </c>
      <c r="BY13" s="1138">
        <f t="shared" si="110"/>
        <v>59.366173199999992</v>
      </c>
      <c r="BZ13" s="956">
        <f t="shared" si="111"/>
        <v>0.01</v>
      </c>
      <c r="CA13" s="956">
        <f t="shared" si="112"/>
        <v>1.01</v>
      </c>
      <c r="CB13" s="1148">
        <f t="shared" si="113"/>
        <v>60.316536583672189</v>
      </c>
      <c r="CC13" s="1148">
        <f t="shared" si="114"/>
        <v>60.55943328131999</v>
      </c>
      <c r="CD13" s="956">
        <f t="shared" si="115"/>
        <v>140</v>
      </c>
      <c r="CE13" s="956">
        <f t="shared" si="116"/>
        <v>90000</v>
      </c>
      <c r="CF13" s="956">
        <f t="shared" si="117"/>
        <v>1.4</v>
      </c>
      <c r="CG13" s="956">
        <f t="shared" si="118"/>
        <v>0.02</v>
      </c>
      <c r="CH13" s="956">
        <f t="shared" si="119"/>
        <v>127997.09999999999</v>
      </c>
      <c r="CI13" s="956">
        <f t="shared" si="120"/>
        <v>128519.99999999999</v>
      </c>
      <c r="CJ13" s="1138">
        <f t="shared" si="121"/>
        <v>1.25</v>
      </c>
      <c r="CK13" s="1138">
        <f t="shared" si="122"/>
        <v>2.1</v>
      </c>
      <c r="CL13" s="1138">
        <f t="shared" si="123"/>
        <v>1.25</v>
      </c>
      <c r="CM13" s="1138">
        <f t="shared" si="124"/>
        <v>1.25</v>
      </c>
      <c r="CN13" s="1151">
        <f t="shared" si="125"/>
        <v>5.6</v>
      </c>
      <c r="CO13" s="1138">
        <f t="shared" si="126"/>
        <v>0.86470015888405416</v>
      </c>
      <c r="CP13" s="1138">
        <f t="shared" si="127"/>
        <v>0.86422927823336615</v>
      </c>
      <c r="CQ13" s="1152">
        <f t="shared" si="128"/>
        <v>0.86470015888405416</v>
      </c>
      <c r="CR13" s="1153">
        <f t="shared" si="129"/>
        <v>0.86422927823336615</v>
      </c>
      <c r="CS13" s="1137">
        <f t="shared" si="130"/>
        <v>0.79600000000000004</v>
      </c>
      <c r="CT13" s="956">
        <f t="shared" si="131"/>
        <v>16.945</v>
      </c>
      <c r="CU13" s="956">
        <f t="shared" si="132"/>
        <v>-10.79</v>
      </c>
      <c r="CV13" s="956">
        <f t="shared" si="133"/>
        <v>0</v>
      </c>
      <c r="CW13" s="956">
        <f t="shared" si="134"/>
        <v>9.3587152000000007</v>
      </c>
      <c r="CX13" s="956">
        <f t="shared" si="135"/>
        <v>-10.275524000000001</v>
      </c>
      <c r="CY13" s="1154">
        <f t="shared" si="136"/>
        <v>1.2725185653711903</v>
      </c>
      <c r="CZ13" s="1155">
        <f t="shared" si="137"/>
        <v>0.63149835913582952</v>
      </c>
      <c r="DA13" s="1137" t="e">
        <f>MIN(VLOOKUP(AP13,'CROP FACTORS'!$C$5:$N$130,2,FALSE),VLOOKUP(AQ13,'CROP FACTORS'!$C$5:$N$130,2,FALSE))</f>
        <v>#N/A</v>
      </c>
      <c r="DB13" s="956" t="e">
        <f>MIN(VLOOKUP(AP13,'CROP FACTORS'!$C$5:$N$130,4,FALSE),VLOOKUP(AQ13,'CROP FACTORS'!$C$5:$N$130,4,FALSE))</f>
        <v>#N/A</v>
      </c>
      <c r="DC13" s="1156" t="e">
        <f t="shared" si="138"/>
        <v>#N/A</v>
      </c>
      <c r="DD13" s="1138">
        <f t="shared" si="139"/>
        <v>1.22</v>
      </c>
      <c r="DE13" s="1157" t="str">
        <f t="shared" si="140"/>
        <v>.</v>
      </c>
      <c r="DF13" s="1138" t="e">
        <f t="shared" si="141"/>
        <v>#N/A</v>
      </c>
      <c r="DG13" s="1158" t="e">
        <f t="shared" si="142"/>
        <v>#N/A</v>
      </c>
      <c r="DH13" s="1159" t="str">
        <f t="shared" si="143"/>
        <v>.</v>
      </c>
      <c r="DI13" s="1153" t="e">
        <f t="shared" si="144"/>
        <v>#VALUE!</v>
      </c>
      <c r="DJ13" s="1133">
        <f t="shared" si="145"/>
        <v>5.8</v>
      </c>
      <c r="DK13" s="1160">
        <f t="shared" si="146"/>
        <v>2.7</v>
      </c>
      <c r="DL13" s="1134">
        <f t="shared" si="147"/>
        <v>2.1</v>
      </c>
      <c r="DM13" s="1161">
        <f t="shared" si="148"/>
        <v>62.54789701860868</v>
      </c>
      <c r="DN13" s="1144">
        <f t="shared" si="149"/>
        <v>48.546000000000006</v>
      </c>
      <c r="DO13" s="1162">
        <f t="shared" si="150"/>
        <v>0.30390181983136094</v>
      </c>
      <c r="DP13" s="1163">
        <f t="shared" si="151"/>
        <v>0.30390181983136094</v>
      </c>
      <c r="DQ13" s="1133">
        <f t="shared" si="152"/>
        <v>1.0745</v>
      </c>
      <c r="DR13" s="1134">
        <f t="shared" si="153"/>
        <v>-1.3429999999999999E-2</v>
      </c>
      <c r="DS13" s="1164">
        <f t="shared" si="154"/>
        <v>36.753999999999998</v>
      </c>
      <c r="DT13" s="1146">
        <f t="shared" si="155"/>
        <v>0.41860252010537063</v>
      </c>
      <c r="DU13" s="1165">
        <f t="shared" si="156"/>
        <v>0.96700636351129787</v>
      </c>
      <c r="DV13" s="1166">
        <f t="shared" si="157"/>
        <v>1</v>
      </c>
      <c r="DW13" s="1166">
        <f t="shared" si="158"/>
        <v>0.99999906792159254</v>
      </c>
      <c r="DX13" s="1166"/>
      <c r="DY13" s="1166">
        <f t="shared" si="159"/>
        <v>0.95859911066559522</v>
      </c>
      <c r="DZ13" s="1166">
        <f t="shared" si="160"/>
        <v>0.86470015888405416</v>
      </c>
      <c r="EA13" s="1138"/>
      <c r="EB13" s="1166">
        <f t="shared" si="161"/>
        <v>0.63149835913582952</v>
      </c>
      <c r="EC13" s="1166"/>
      <c r="ED13" s="1138"/>
      <c r="EE13" s="1166">
        <f t="shared" si="162"/>
        <v>0.30390181983136094</v>
      </c>
      <c r="EF13" s="1140">
        <f t="shared" si="163"/>
        <v>0.41860252010537063</v>
      </c>
      <c r="EG13" s="1159">
        <f t="shared" si="164"/>
        <v>6.1443074000551006</v>
      </c>
      <c r="EH13" s="1167">
        <f t="shared" si="165"/>
        <v>8</v>
      </c>
      <c r="EI13" s="1312">
        <f t="shared" si="166"/>
        <v>0.76803842500688757</v>
      </c>
      <c r="EJ13" s="1168">
        <f t="shared" si="167"/>
        <v>1.6314983591358296</v>
      </c>
      <c r="EK13" s="1169">
        <f t="shared" si="168"/>
        <v>2</v>
      </c>
      <c r="EL13" s="1170">
        <f t="shared" si="169"/>
        <v>0.81574917956791482</v>
      </c>
      <c r="EM13" s="1159">
        <f t="shared" si="170"/>
        <v>0.95859911066559522</v>
      </c>
      <c r="EN13" s="1167">
        <f t="shared" si="171"/>
        <v>1</v>
      </c>
      <c r="EO13" s="1171">
        <f t="shared" si="172"/>
        <v>0.95859911066559522</v>
      </c>
      <c r="EP13" s="1168">
        <f t="shared" si="173"/>
        <v>2.2709072512642514</v>
      </c>
      <c r="EQ13" s="1169">
        <f t="shared" si="174"/>
        <v>3</v>
      </c>
      <c r="ER13" s="1146">
        <f t="shared" si="175"/>
        <v>0.75696908375475047</v>
      </c>
      <c r="ES13" s="1159">
        <f t="shared" si="176"/>
        <v>1.2833026789894248</v>
      </c>
      <c r="ET13" s="1167">
        <f t="shared" si="177"/>
        <v>2</v>
      </c>
      <c r="EU13" s="1155">
        <f t="shared" si="178"/>
        <v>0.64165133949471242</v>
      </c>
      <c r="EV13" s="1159">
        <f t="shared" si="179"/>
        <v>2.24190178965502</v>
      </c>
      <c r="EW13" s="1167">
        <f t="shared" si="180"/>
        <v>3</v>
      </c>
      <c r="EX13" s="1155">
        <f t="shared" si="181"/>
        <v>0.74730059655167336</v>
      </c>
    </row>
    <row r="14" spans="1:154">
      <c r="B14" s="1218" t="s">
        <v>1263</v>
      </c>
      <c r="C14" s="1219">
        <v>4</v>
      </c>
      <c r="D14" s="1220" t="s">
        <v>1264</v>
      </c>
      <c r="E14" s="1220" t="s">
        <v>1265</v>
      </c>
      <c r="F14" s="1221" t="s">
        <v>1266</v>
      </c>
      <c r="G14" s="1185"/>
      <c r="H14" s="1186"/>
      <c r="I14" s="1186"/>
      <c r="J14" s="1187"/>
      <c r="K14" s="1188"/>
      <c r="L14" s="1189"/>
      <c r="M14" s="1190"/>
      <c r="N14" s="1191"/>
      <c r="O14" s="1192"/>
      <c r="P14" s="1193"/>
      <c r="Q14" s="1194"/>
      <c r="R14" s="1195"/>
      <c r="S14" s="1196"/>
      <c r="T14" s="1197"/>
      <c r="U14" s="1198"/>
      <c r="V14" s="1278">
        <v>30.3</v>
      </c>
      <c r="W14" s="1262">
        <v>1.53</v>
      </c>
      <c r="X14" s="1283">
        <v>89.28</v>
      </c>
      <c r="Y14" s="1272">
        <v>381.94956011730233</v>
      </c>
      <c r="Z14" s="1255" t="s">
        <v>1058</v>
      </c>
      <c r="AA14" s="1277">
        <v>4.3014000000000001</v>
      </c>
      <c r="AB14" s="1261">
        <v>5.6</v>
      </c>
      <c r="AC14" s="1282">
        <v>1.2063391664909691</v>
      </c>
      <c r="AD14" s="1271" t="s">
        <v>1058</v>
      </c>
      <c r="AE14" s="1271" t="s">
        <v>1058</v>
      </c>
      <c r="AF14" s="1254">
        <v>51.877494478310801</v>
      </c>
      <c r="AG14" s="1282">
        <v>42.619000000000007</v>
      </c>
      <c r="AH14" s="1253">
        <v>4</v>
      </c>
      <c r="AI14" s="1253">
        <v>4</v>
      </c>
      <c r="AJ14" s="1253">
        <v>4</v>
      </c>
      <c r="AK14" s="1253">
        <v>1</v>
      </c>
      <c r="AL14" s="1253">
        <v>2</v>
      </c>
      <c r="AM14" s="1253">
        <v>2</v>
      </c>
      <c r="AN14" s="1253">
        <v>3</v>
      </c>
      <c r="AO14" s="1253">
        <v>2</v>
      </c>
      <c r="AP14" s="1253">
        <v>107</v>
      </c>
      <c r="AQ14" s="1253"/>
      <c r="AR14" s="1253">
        <v>2</v>
      </c>
      <c r="AS14" s="1253">
        <v>5</v>
      </c>
      <c r="AT14" s="1253">
        <v>2</v>
      </c>
      <c r="AU14" s="1253"/>
      <c r="AV14" s="1133">
        <f t="shared" si="84"/>
        <v>3.81</v>
      </c>
      <c r="AW14" s="1134">
        <f t="shared" si="85"/>
        <v>1.05</v>
      </c>
      <c r="AX14" s="1134">
        <f t="shared" si="86"/>
        <v>0.15</v>
      </c>
      <c r="AY14" s="1135">
        <f t="shared" si="87"/>
        <v>1.53</v>
      </c>
      <c r="AZ14" s="1136">
        <f t="shared" si="88"/>
        <v>0.95790657670521029</v>
      </c>
      <c r="BA14" s="1137">
        <f t="shared" si="89"/>
        <v>0.89993809999999996</v>
      </c>
      <c r="BB14" s="956">
        <f t="shared" si="90"/>
        <v>1.1599999999999999</v>
      </c>
      <c r="BC14" s="1138">
        <f t="shared" si="91"/>
        <v>1</v>
      </c>
      <c r="BD14" s="1139">
        <f t="shared" si="92"/>
        <v>89.28</v>
      </c>
      <c r="BE14" s="1138">
        <f t="shared" si="93"/>
        <v>0.57624789560847811</v>
      </c>
      <c r="BF14" s="1140">
        <f t="shared" si="94"/>
        <v>1</v>
      </c>
      <c r="BG14" s="1137">
        <f t="shared" si="95"/>
        <v>0.03</v>
      </c>
      <c r="BH14" s="956">
        <f t="shared" si="96"/>
        <v>1</v>
      </c>
      <c r="BI14" s="956">
        <f t="shared" si="97"/>
        <v>1.08</v>
      </c>
      <c r="BJ14" s="956">
        <f t="shared" si="98"/>
        <v>0</v>
      </c>
      <c r="BK14" s="956">
        <f t="shared" si="99"/>
        <v>1.08</v>
      </c>
      <c r="BL14" s="956">
        <f t="shared" si="100"/>
        <v>0</v>
      </c>
      <c r="BM14" s="1141">
        <f t="shared" si="101"/>
        <v>381.94956011730233</v>
      </c>
      <c r="BN14" s="1142">
        <f t="shared" si="102"/>
        <v>0.99982798536860185</v>
      </c>
      <c r="BO14" s="1143">
        <f t="shared" si="103"/>
        <v>0.43227500000000002</v>
      </c>
      <c r="BP14" s="1144">
        <f t="shared" si="104"/>
        <v>0.9</v>
      </c>
      <c r="BQ14" s="1134">
        <f t="shared" si="105"/>
        <v>0.9</v>
      </c>
      <c r="BR14" s="1145" t="str">
        <f t="shared" si="106"/>
        <v>.</v>
      </c>
      <c r="BS14" s="1146" t="e">
        <f t="shared" si="107"/>
        <v>#VALUE!</v>
      </c>
      <c r="BT14" s="1147">
        <f>VLOOKUP(AP14,'CROP FACTORS'!$C$5:$N$130,7,FALSE)</f>
        <v>4.5</v>
      </c>
      <c r="BU14" s="1148">
        <f>VLOOKUP(AP14,'CROP FACTORS'!$C$5:$P$130,8,FALSE)</f>
        <v>1</v>
      </c>
      <c r="BV14" s="1149">
        <f t="shared" si="108"/>
        <v>4.3014000000000001</v>
      </c>
      <c r="BW14" s="1150">
        <f t="shared" si="109"/>
        <v>0.98047220649942246</v>
      </c>
      <c r="BX14" s="1137">
        <f>VLOOKUP(AP14,'CROP FACTORS'!$C$5:$N$130,10,FALSE)</f>
        <v>6</v>
      </c>
      <c r="BY14" s="1138">
        <f t="shared" si="110"/>
        <v>59.366173199999992</v>
      </c>
      <c r="BZ14" s="956">
        <f t="shared" si="111"/>
        <v>0.01</v>
      </c>
      <c r="CA14" s="956">
        <f t="shared" si="112"/>
        <v>1.01</v>
      </c>
      <c r="CB14" s="1148">
        <f t="shared" si="113"/>
        <v>60.283558674459591</v>
      </c>
      <c r="CC14" s="1148">
        <f t="shared" si="114"/>
        <v>60.55943328131999</v>
      </c>
      <c r="CD14" s="956">
        <f t="shared" si="115"/>
        <v>140</v>
      </c>
      <c r="CE14" s="956">
        <f t="shared" si="116"/>
        <v>90000</v>
      </c>
      <c r="CF14" s="956">
        <f t="shared" si="117"/>
        <v>1.4</v>
      </c>
      <c r="CG14" s="956">
        <f t="shared" si="118"/>
        <v>0.02</v>
      </c>
      <c r="CH14" s="956">
        <f t="shared" si="119"/>
        <v>127927.79999999999</v>
      </c>
      <c r="CI14" s="956">
        <f t="shared" si="120"/>
        <v>128519.99999999999</v>
      </c>
      <c r="CJ14" s="1138">
        <f t="shared" si="121"/>
        <v>1.25</v>
      </c>
      <c r="CK14" s="1138">
        <f t="shared" si="122"/>
        <v>2.1</v>
      </c>
      <c r="CL14" s="1138">
        <f t="shared" si="123"/>
        <v>1.25</v>
      </c>
      <c r="CM14" s="1138">
        <f t="shared" si="124"/>
        <v>1.25</v>
      </c>
      <c r="CN14" s="1151">
        <f t="shared" si="125"/>
        <v>5.6</v>
      </c>
      <c r="CO14" s="1138">
        <f t="shared" si="126"/>
        <v>0.86476412957582061</v>
      </c>
      <c r="CP14" s="1138">
        <f t="shared" si="127"/>
        <v>0.86422927823336615</v>
      </c>
      <c r="CQ14" s="1152">
        <f t="shared" si="128"/>
        <v>0.86476412957582061</v>
      </c>
      <c r="CR14" s="1153">
        <f t="shared" si="129"/>
        <v>0.86422927823336615</v>
      </c>
      <c r="CS14" s="1137">
        <f t="shared" si="130"/>
        <v>0.79600000000000004</v>
      </c>
      <c r="CT14" s="956">
        <f t="shared" si="131"/>
        <v>16.945</v>
      </c>
      <c r="CU14" s="956">
        <f t="shared" si="132"/>
        <v>-10.79</v>
      </c>
      <c r="CV14" s="956">
        <f t="shared" si="133"/>
        <v>0</v>
      </c>
      <c r="CW14" s="956">
        <f t="shared" si="134"/>
        <v>9.3587152000000007</v>
      </c>
      <c r="CX14" s="956">
        <f t="shared" si="135"/>
        <v>-10.275524000000001</v>
      </c>
      <c r="CY14" s="1154">
        <f t="shared" si="136"/>
        <v>1.2063391664909691</v>
      </c>
      <c r="CZ14" s="1155">
        <f t="shared" si="137"/>
        <v>0.79004102840101342</v>
      </c>
      <c r="DA14" s="1137" t="e">
        <f>MIN(VLOOKUP(AP14,'CROP FACTORS'!$C$5:$N$130,2,FALSE),VLOOKUP(AQ14,'CROP FACTORS'!$C$5:$N$130,2,FALSE))</f>
        <v>#N/A</v>
      </c>
      <c r="DB14" s="956" t="e">
        <f>MIN(VLOOKUP(AP14,'CROP FACTORS'!$C$5:$N$130,4,FALSE),VLOOKUP(AQ14,'CROP FACTORS'!$C$5:$N$130,4,FALSE))</f>
        <v>#N/A</v>
      </c>
      <c r="DC14" s="1156" t="e">
        <f t="shared" si="138"/>
        <v>#N/A</v>
      </c>
      <c r="DD14" s="1138">
        <f t="shared" si="139"/>
        <v>1.22</v>
      </c>
      <c r="DE14" s="1157" t="str">
        <f t="shared" si="140"/>
        <v>.</v>
      </c>
      <c r="DF14" s="1138" t="e">
        <f t="shared" si="141"/>
        <v>#N/A</v>
      </c>
      <c r="DG14" s="1158" t="e">
        <f t="shared" si="142"/>
        <v>#N/A</v>
      </c>
      <c r="DH14" s="1159" t="str">
        <f t="shared" si="143"/>
        <v>.</v>
      </c>
      <c r="DI14" s="1153" t="e">
        <f t="shared" si="144"/>
        <v>#VALUE!</v>
      </c>
      <c r="DJ14" s="1133">
        <f t="shared" si="145"/>
        <v>5.8</v>
      </c>
      <c r="DK14" s="1160">
        <f t="shared" si="146"/>
        <v>2.7</v>
      </c>
      <c r="DL14" s="1134">
        <f t="shared" si="147"/>
        <v>2.1</v>
      </c>
      <c r="DM14" s="1161">
        <f t="shared" si="148"/>
        <v>51.877494478310801</v>
      </c>
      <c r="DN14" s="1144">
        <f t="shared" si="149"/>
        <v>48.546000000000006</v>
      </c>
      <c r="DO14" s="1162">
        <f t="shared" si="150"/>
        <v>0.20610958499906865</v>
      </c>
      <c r="DP14" s="1163">
        <f t="shared" si="151"/>
        <v>0.20610958499906865</v>
      </c>
      <c r="DQ14" s="1133">
        <f t="shared" si="152"/>
        <v>1.0745</v>
      </c>
      <c r="DR14" s="1134">
        <f t="shared" si="153"/>
        <v>-1.3429999999999999E-2</v>
      </c>
      <c r="DS14" s="1164">
        <f t="shared" si="154"/>
        <v>42.619000000000007</v>
      </c>
      <c r="DT14" s="1146">
        <f t="shared" si="155"/>
        <v>0.46828327988905616</v>
      </c>
      <c r="DU14" s="1165">
        <f t="shared" si="156"/>
        <v>0.95790657670521029</v>
      </c>
      <c r="DV14" s="1166">
        <f t="shared" si="157"/>
        <v>1</v>
      </c>
      <c r="DW14" s="1166">
        <f t="shared" si="158"/>
        <v>0.99982798536860185</v>
      </c>
      <c r="DX14" s="1166"/>
      <c r="DY14" s="1166">
        <f t="shared" si="159"/>
        <v>0.98047220649942246</v>
      </c>
      <c r="DZ14" s="1166">
        <f t="shared" si="160"/>
        <v>0.86476412957582061</v>
      </c>
      <c r="EA14" s="1138"/>
      <c r="EB14" s="1166">
        <f t="shared" si="161"/>
        <v>0.79004102840101342</v>
      </c>
      <c r="EC14" s="1166"/>
      <c r="ED14" s="1138"/>
      <c r="EE14" s="1166">
        <f t="shared" si="162"/>
        <v>0.20610958499906865</v>
      </c>
      <c r="EF14" s="1140">
        <f t="shared" si="163"/>
        <v>0.46828327988905616</v>
      </c>
      <c r="EG14" s="1159">
        <f t="shared" si="164"/>
        <v>6.2674047914381932</v>
      </c>
      <c r="EH14" s="1167">
        <f t="shared" si="165"/>
        <v>8</v>
      </c>
      <c r="EI14" s="1312">
        <f t="shared" si="166"/>
        <v>0.78342559892977415</v>
      </c>
      <c r="EJ14" s="1168">
        <f t="shared" si="167"/>
        <v>1.7900410284010135</v>
      </c>
      <c r="EK14" s="1169">
        <f t="shared" si="168"/>
        <v>2</v>
      </c>
      <c r="EL14" s="1170">
        <f t="shared" si="169"/>
        <v>0.89502051420050677</v>
      </c>
      <c r="EM14" s="1159">
        <f t="shared" si="170"/>
        <v>0.98047220649942246</v>
      </c>
      <c r="EN14" s="1167">
        <f t="shared" si="171"/>
        <v>1</v>
      </c>
      <c r="EO14" s="1171">
        <f t="shared" si="172"/>
        <v>0.98047220649942246</v>
      </c>
      <c r="EP14" s="1168">
        <f t="shared" si="173"/>
        <v>2.1638441470728811</v>
      </c>
      <c r="EQ14" s="1169">
        <f t="shared" si="174"/>
        <v>3</v>
      </c>
      <c r="ER14" s="1146">
        <f t="shared" si="175"/>
        <v>0.72128138235762707</v>
      </c>
      <c r="ES14" s="1159">
        <f t="shared" si="176"/>
        <v>1.3330474094648768</v>
      </c>
      <c r="ET14" s="1167">
        <f t="shared" si="177"/>
        <v>2</v>
      </c>
      <c r="EU14" s="1155">
        <f t="shared" si="178"/>
        <v>0.66652370473243838</v>
      </c>
      <c r="EV14" s="1159">
        <f t="shared" si="179"/>
        <v>2.3135196159642994</v>
      </c>
      <c r="EW14" s="1167">
        <f t="shared" si="180"/>
        <v>3</v>
      </c>
      <c r="EX14" s="1155">
        <f t="shared" si="181"/>
        <v>0.77117320532143319</v>
      </c>
    </row>
    <row r="15" spans="1:154" s="1200" customFormat="1">
      <c r="B15" s="1218" t="s">
        <v>1263</v>
      </c>
      <c r="C15" s="1219">
        <v>5</v>
      </c>
      <c r="D15" s="1220" t="s">
        <v>1264</v>
      </c>
      <c r="E15" s="1220" t="s">
        <v>1265</v>
      </c>
      <c r="F15" s="1221" t="s">
        <v>1266</v>
      </c>
      <c r="P15" s="963"/>
      <c r="V15" s="1278">
        <v>30.4</v>
      </c>
      <c r="W15" s="1262">
        <v>1.6800000000000002</v>
      </c>
      <c r="X15" s="1283">
        <v>89.3</v>
      </c>
      <c r="Y15" s="1272">
        <v>331.77848775292864</v>
      </c>
      <c r="Z15" s="1255" t="s">
        <v>1058</v>
      </c>
      <c r="AA15" s="1277">
        <v>4.3936000000000002</v>
      </c>
      <c r="AB15" s="1261">
        <v>6.6</v>
      </c>
      <c r="AC15" s="1282">
        <v>1.229531239018905</v>
      </c>
      <c r="AD15" s="1271" t="s">
        <v>1058</v>
      </c>
      <c r="AE15" s="1271" t="s">
        <v>1058</v>
      </c>
      <c r="AF15" s="1254">
        <v>53.506499642090198</v>
      </c>
      <c r="AG15" s="1282">
        <v>42.228000000000002</v>
      </c>
      <c r="AH15" s="1253">
        <v>4</v>
      </c>
      <c r="AI15" s="1253">
        <v>4</v>
      </c>
      <c r="AJ15" s="1253">
        <v>4</v>
      </c>
      <c r="AK15" s="1253">
        <v>1</v>
      </c>
      <c r="AL15" s="1253">
        <v>2</v>
      </c>
      <c r="AM15" s="1253">
        <v>2</v>
      </c>
      <c r="AN15" s="1253">
        <v>3</v>
      </c>
      <c r="AO15" s="1253">
        <v>2</v>
      </c>
      <c r="AP15" s="1253">
        <v>107</v>
      </c>
      <c r="AQ15" s="1253"/>
      <c r="AR15" s="1253">
        <v>2</v>
      </c>
      <c r="AS15" s="1253">
        <v>5</v>
      </c>
      <c r="AT15" s="1253">
        <v>2</v>
      </c>
      <c r="AU15" s="1253"/>
      <c r="AV15" s="1133">
        <f t="shared" si="84"/>
        <v>3.81</v>
      </c>
      <c r="AW15" s="1134">
        <f t="shared" si="85"/>
        <v>1.05</v>
      </c>
      <c r="AX15" s="1134">
        <f t="shared" si="86"/>
        <v>0.15</v>
      </c>
      <c r="AY15" s="1135">
        <f t="shared" si="87"/>
        <v>1.6800000000000002</v>
      </c>
      <c r="AZ15" s="1136">
        <f t="shared" si="88"/>
        <v>0.97843631376165674</v>
      </c>
      <c r="BA15" s="1137">
        <f t="shared" si="89"/>
        <v>0.89993809999999996</v>
      </c>
      <c r="BB15" s="956">
        <f t="shared" si="90"/>
        <v>1.1599999999999999</v>
      </c>
      <c r="BC15" s="1138">
        <f t="shared" si="91"/>
        <v>1</v>
      </c>
      <c r="BD15" s="1139">
        <f t="shared" si="92"/>
        <v>89.3</v>
      </c>
      <c r="BE15" s="1138">
        <f t="shared" si="93"/>
        <v>0.57579020018764859</v>
      </c>
      <c r="BF15" s="1140">
        <f t="shared" si="94"/>
        <v>1</v>
      </c>
      <c r="BG15" s="1137">
        <f t="shared" si="95"/>
        <v>0.03</v>
      </c>
      <c r="BH15" s="956">
        <f t="shared" si="96"/>
        <v>1</v>
      </c>
      <c r="BI15" s="956">
        <f t="shared" si="97"/>
        <v>1.08</v>
      </c>
      <c r="BJ15" s="956">
        <f t="shared" si="98"/>
        <v>0</v>
      </c>
      <c r="BK15" s="956">
        <f t="shared" si="99"/>
        <v>1.08</v>
      </c>
      <c r="BL15" s="956">
        <f t="shared" si="100"/>
        <v>0</v>
      </c>
      <c r="BM15" s="1141">
        <f t="shared" si="101"/>
        <v>331.77848775292864</v>
      </c>
      <c r="BN15" s="1142">
        <f t="shared" si="102"/>
        <v>0.99912657653376491</v>
      </c>
      <c r="BO15" s="1143">
        <f t="shared" si="103"/>
        <v>0.43227500000000002</v>
      </c>
      <c r="BP15" s="1144">
        <f t="shared" si="104"/>
        <v>0.9</v>
      </c>
      <c r="BQ15" s="1134">
        <f t="shared" si="105"/>
        <v>0.9</v>
      </c>
      <c r="BR15" s="1145" t="str">
        <f t="shared" si="106"/>
        <v>.</v>
      </c>
      <c r="BS15" s="1146" t="e">
        <f t="shared" si="107"/>
        <v>#VALUE!</v>
      </c>
      <c r="BT15" s="1147">
        <f>VLOOKUP(AP15,'CROP FACTORS'!$C$5:$N$130,7,FALSE)</f>
        <v>4.5</v>
      </c>
      <c r="BU15" s="1148">
        <f>VLOOKUP(AP15,'CROP FACTORS'!$C$5:$P$130,8,FALSE)</f>
        <v>1</v>
      </c>
      <c r="BV15" s="1149">
        <f t="shared" si="108"/>
        <v>4.3936000000000002</v>
      </c>
      <c r="BW15" s="1150">
        <f t="shared" si="109"/>
        <v>0.99435551033170444</v>
      </c>
      <c r="BX15" s="1137">
        <f>VLOOKUP(AP15,'CROP FACTORS'!$C$5:$N$130,10,FALSE)</f>
        <v>6</v>
      </c>
      <c r="BY15" s="1138">
        <f t="shared" si="110"/>
        <v>59.366173199999992</v>
      </c>
      <c r="BZ15" s="956">
        <f t="shared" si="111"/>
        <v>0.01</v>
      </c>
      <c r="CA15" s="956">
        <f t="shared" si="112"/>
        <v>1.01</v>
      </c>
      <c r="CB15" s="1148">
        <f t="shared" si="113"/>
        <v>60.373498426857594</v>
      </c>
      <c r="CC15" s="1148">
        <f t="shared" si="114"/>
        <v>60.55943328131999</v>
      </c>
      <c r="CD15" s="956">
        <f t="shared" si="115"/>
        <v>140</v>
      </c>
      <c r="CE15" s="956">
        <f t="shared" si="116"/>
        <v>90000</v>
      </c>
      <c r="CF15" s="956">
        <f t="shared" si="117"/>
        <v>1.4</v>
      </c>
      <c r="CG15" s="956">
        <f t="shared" si="118"/>
        <v>0.02</v>
      </c>
      <c r="CH15" s="956">
        <f t="shared" si="119"/>
        <v>128116.79999999999</v>
      </c>
      <c r="CI15" s="956">
        <f t="shared" si="120"/>
        <v>128519.99999999999</v>
      </c>
      <c r="CJ15" s="1138">
        <f t="shared" si="121"/>
        <v>1.25</v>
      </c>
      <c r="CK15" s="1138">
        <f t="shared" si="122"/>
        <v>2.1</v>
      </c>
      <c r="CL15" s="1138">
        <f t="shared" si="123"/>
        <v>1.25</v>
      </c>
      <c r="CM15" s="1138">
        <f t="shared" si="124"/>
        <v>1.25</v>
      </c>
      <c r="CN15" s="1151">
        <f t="shared" si="125"/>
        <v>6.6</v>
      </c>
      <c r="CO15" s="1138">
        <f t="shared" si="126"/>
        <v>0.91346627848931294</v>
      </c>
      <c r="CP15" s="1138">
        <f t="shared" si="127"/>
        <v>0.91322290332341338</v>
      </c>
      <c r="CQ15" s="1152">
        <f t="shared" si="128"/>
        <v>0.91346627848931294</v>
      </c>
      <c r="CR15" s="1153">
        <f t="shared" si="129"/>
        <v>0.91322290332341338</v>
      </c>
      <c r="CS15" s="1137">
        <f t="shared" si="130"/>
        <v>0.79600000000000004</v>
      </c>
      <c r="CT15" s="956">
        <f t="shared" si="131"/>
        <v>16.945</v>
      </c>
      <c r="CU15" s="956">
        <f t="shared" si="132"/>
        <v>-10.79</v>
      </c>
      <c r="CV15" s="956">
        <f t="shared" si="133"/>
        <v>0</v>
      </c>
      <c r="CW15" s="956">
        <f t="shared" si="134"/>
        <v>9.3587152000000007</v>
      </c>
      <c r="CX15" s="956">
        <f t="shared" si="135"/>
        <v>-10.275524000000001</v>
      </c>
      <c r="CY15" s="1154">
        <f t="shared" si="136"/>
        <v>1.229531239018905</v>
      </c>
      <c r="CZ15" s="1155">
        <f t="shared" si="137"/>
        <v>0.73419898497910374</v>
      </c>
      <c r="DA15" s="1137" t="e">
        <f>MIN(VLOOKUP(AP15,'CROP FACTORS'!$C$5:$N$130,2,FALSE),VLOOKUP(AQ15,'CROP FACTORS'!$C$5:$N$130,2,FALSE))</f>
        <v>#N/A</v>
      </c>
      <c r="DB15" s="956" t="e">
        <f>MIN(VLOOKUP(AP15,'CROP FACTORS'!$C$5:$N$130,4,FALSE),VLOOKUP(AQ15,'CROP FACTORS'!$C$5:$N$130,4,FALSE))</f>
        <v>#N/A</v>
      </c>
      <c r="DC15" s="1156" t="e">
        <f t="shared" si="138"/>
        <v>#N/A</v>
      </c>
      <c r="DD15" s="1138">
        <f t="shared" si="139"/>
        <v>1.22</v>
      </c>
      <c r="DE15" s="1157" t="str">
        <f t="shared" si="140"/>
        <v>.</v>
      </c>
      <c r="DF15" s="1138" t="e">
        <f t="shared" si="141"/>
        <v>#N/A</v>
      </c>
      <c r="DG15" s="1158" t="e">
        <f t="shared" si="142"/>
        <v>#N/A</v>
      </c>
      <c r="DH15" s="1159" t="str">
        <f t="shared" si="143"/>
        <v>.</v>
      </c>
      <c r="DI15" s="1153" t="e">
        <f t="shared" si="144"/>
        <v>#VALUE!</v>
      </c>
      <c r="DJ15" s="1133">
        <f t="shared" si="145"/>
        <v>5.8</v>
      </c>
      <c r="DK15" s="1160">
        <f t="shared" si="146"/>
        <v>2.7</v>
      </c>
      <c r="DL15" s="1134">
        <f t="shared" si="147"/>
        <v>2.1</v>
      </c>
      <c r="DM15" s="1161">
        <f t="shared" si="148"/>
        <v>53.506499642090198</v>
      </c>
      <c r="DN15" s="1144">
        <f t="shared" si="149"/>
        <v>48.546000000000006</v>
      </c>
      <c r="DO15" s="1162">
        <f t="shared" si="150"/>
        <v>0.21938665967002521</v>
      </c>
      <c r="DP15" s="1163">
        <f t="shared" si="151"/>
        <v>0.21938665967002521</v>
      </c>
      <c r="DQ15" s="1133">
        <f t="shared" si="152"/>
        <v>1.0745</v>
      </c>
      <c r="DR15" s="1134">
        <f t="shared" si="153"/>
        <v>-1.3429999999999999E-2</v>
      </c>
      <c r="DS15" s="1164">
        <f t="shared" si="154"/>
        <v>42.228000000000002</v>
      </c>
      <c r="DT15" s="1146">
        <f t="shared" si="155"/>
        <v>0.46509158441372761</v>
      </c>
      <c r="DU15" s="1165">
        <f t="shared" si="156"/>
        <v>0.97843631376165674</v>
      </c>
      <c r="DV15" s="1166">
        <f t="shared" si="157"/>
        <v>1</v>
      </c>
      <c r="DW15" s="1166">
        <f t="shared" si="158"/>
        <v>0.99912657653376491</v>
      </c>
      <c r="DX15" s="1166"/>
      <c r="DY15" s="1166">
        <f t="shared" si="159"/>
        <v>0.99435551033170444</v>
      </c>
      <c r="DZ15" s="1166">
        <f t="shared" si="160"/>
        <v>0.91346627848931294</v>
      </c>
      <c r="EA15" s="1138"/>
      <c r="EB15" s="1166">
        <f t="shared" si="161"/>
        <v>0.73419898497910374</v>
      </c>
      <c r="EC15" s="1166"/>
      <c r="ED15" s="1138"/>
      <c r="EE15" s="1166">
        <f t="shared" si="162"/>
        <v>0.21938665967002521</v>
      </c>
      <c r="EF15" s="1140">
        <f t="shared" si="163"/>
        <v>0.46509158441372761</v>
      </c>
      <c r="EG15" s="1159">
        <f t="shared" si="164"/>
        <v>6.3040619081792952</v>
      </c>
      <c r="EH15" s="1167">
        <f t="shared" si="165"/>
        <v>8</v>
      </c>
      <c r="EI15" s="1312">
        <f t="shared" si="166"/>
        <v>0.7880077385224119</v>
      </c>
      <c r="EJ15" s="1168">
        <f t="shared" si="167"/>
        <v>1.7341989849791037</v>
      </c>
      <c r="EK15" s="1169">
        <f t="shared" si="168"/>
        <v>2</v>
      </c>
      <c r="EL15" s="1170">
        <f t="shared" si="169"/>
        <v>0.86709949248955187</v>
      </c>
      <c r="EM15" s="1159">
        <f t="shared" si="170"/>
        <v>0.99435551033170444</v>
      </c>
      <c r="EN15" s="1167">
        <f t="shared" si="171"/>
        <v>1</v>
      </c>
      <c r="EO15" s="1171">
        <f t="shared" si="172"/>
        <v>0.99435551033170444</v>
      </c>
      <c r="EP15" s="1168">
        <f t="shared" si="173"/>
        <v>2.196949549965447</v>
      </c>
      <c r="EQ15" s="1169">
        <f t="shared" si="174"/>
        <v>3</v>
      </c>
      <c r="ER15" s="1146">
        <f t="shared" si="175"/>
        <v>0.73231651665514896</v>
      </c>
      <c r="ES15" s="1159">
        <f t="shared" si="176"/>
        <v>1.3785578629030406</v>
      </c>
      <c r="ET15" s="1167">
        <f t="shared" si="177"/>
        <v>2</v>
      </c>
      <c r="EU15" s="1155">
        <f t="shared" si="178"/>
        <v>0.6892789314515203</v>
      </c>
      <c r="EV15" s="1159">
        <f t="shared" si="179"/>
        <v>2.3729133732347449</v>
      </c>
      <c r="EW15" s="1167">
        <f t="shared" si="180"/>
        <v>3</v>
      </c>
      <c r="EX15" s="1155">
        <f t="shared" si="181"/>
        <v>0.79097112441158168</v>
      </c>
    </row>
    <row r="16" spans="1:154" s="1200" customFormat="1">
      <c r="B16" s="1218" t="s">
        <v>1263</v>
      </c>
      <c r="C16" s="1219">
        <v>6</v>
      </c>
      <c r="D16" s="1220" t="s">
        <v>1264</v>
      </c>
      <c r="E16" s="1220" t="s">
        <v>1265</v>
      </c>
      <c r="F16" s="1221" t="s">
        <v>1266</v>
      </c>
      <c r="P16" s="963"/>
      <c r="V16" s="1278">
        <v>32.799999999999997</v>
      </c>
      <c r="W16" s="1262">
        <v>1.8</v>
      </c>
      <c r="X16" s="1283">
        <v>91.06</v>
      </c>
      <c r="Y16" s="1272">
        <v>421.74137413741403</v>
      </c>
      <c r="Z16" s="1255" t="s">
        <v>1058</v>
      </c>
      <c r="AA16" s="1277">
        <v>4.4858000000000002</v>
      </c>
      <c r="AB16" s="1261">
        <v>5.8</v>
      </c>
      <c r="AC16" s="1282">
        <v>1.2422985920772134</v>
      </c>
      <c r="AD16" s="1271" t="s">
        <v>1058</v>
      </c>
      <c r="AE16" s="1271" t="s">
        <v>1058</v>
      </c>
      <c r="AF16" s="1254">
        <v>43.427535819851528</v>
      </c>
      <c r="AG16" s="1282">
        <v>45.355999999999995</v>
      </c>
      <c r="AH16" s="1280">
        <v>4</v>
      </c>
      <c r="AI16" s="1280">
        <v>4</v>
      </c>
      <c r="AJ16" s="1280">
        <v>4</v>
      </c>
      <c r="AK16" s="1280">
        <v>1</v>
      </c>
      <c r="AL16" s="1280">
        <v>2</v>
      </c>
      <c r="AM16" s="1280">
        <v>2</v>
      </c>
      <c r="AN16" s="1280">
        <v>3</v>
      </c>
      <c r="AO16" s="1280">
        <v>2</v>
      </c>
      <c r="AP16" s="1253">
        <v>107</v>
      </c>
      <c r="AQ16" s="1280"/>
      <c r="AR16" s="1280">
        <v>2</v>
      </c>
      <c r="AS16" s="1280">
        <v>5</v>
      </c>
      <c r="AT16" s="1280">
        <v>2</v>
      </c>
      <c r="AU16" s="1280"/>
      <c r="AV16" s="1133">
        <f t="shared" si="84"/>
        <v>3.81</v>
      </c>
      <c r="AW16" s="1134">
        <f t="shared" si="85"/>
        <v>1.05</v>
      </c>
      <c r="AX16" s="1134">
        <f t="shared" si="86"/>
        <v>0.15</v>
      </c>
      <c r="AY16" s="1135">
        <f t="shared" si="87"/>
        <v>1.8</v>
      </c>
      <c r="AZ16" s="1136">
        <f t="shared" si="88"/>
        <v>0.98746992136006972</v>
      </c>
      <c r="BA16" s="1137">
        <f t="shared" si="89"/>
        <v>0.89993809999999996</v>
      </c>
      <c r="BB16" s="956">
        <f t="shared" si="90"/>
        <v>1.1599999999999999</v>
      </c>
      <c r="BC16" s="1138">
        <f t="shared" si="91"/>
        <v>1</v>
      </c>
      <c r="BD16" s="1139">
        <f t="shared" si="92"/>
        <v>91.06</v>
      </c>
      <c r="BE16" s="1138">
        <f t="shared" si="93"/>
        <v>0.53469740530521193</v>
      </c>
      <c r="BF16" s="1140">
        <f t="shared" si="94"/>
        <v>1</v>
      </c>
      <c r="BG16" s="1137">
        <f t="shared" si="95"/>
        <v>0.03</v>
      </c>
      <c r="BH16" s="956">
        <f t="shared" si="96"/>
        <v>1</v>
      </c>
      <c r="BI16" s="956">
        <f t="shared" si="97"/>
        <v>1.08</v>
      </c>
      <c r="BJ16" s="956">
        <f t="shared" si="98"/>
        <v>0</v>
      </c>
      <c r="BK16" s="956">
        <f t="shared" si="99"/>
        <v>1.08</v>
      </c>
      <c r="BL16" s="956">
        <f t="shared" si="100"/>
        <v>0</v>
      </c>
      <c r="BM16" s="1141">
        <f t="shared" si="101"/>
        <v>421.74137413741403</v>
      </c>
      <c r="BN16" s="1142">
        <f t="shared" si="102"/>
        <v>0.9999526081912915</v>
      </c>
      <c r="BO16" s="1143">
        <f t="shared" si="103"/>
        <v>0.43227500000000002</v>
      </c>
      <c r="BP16" s="1144">
        <f t="shared" si="104"/>
        <v>0.9</v>
      </c>
      <c r="BQ16" s="1134">
        <f t="shared" si="105"/>
        <v>0.9</v>
      </c>
      <c r="BR16" s="1145" t="str">
        <f t="shared" si="106"/>
        <v>.</v>
      </c>
      <c r="BS16" s="1146" t="e">
        <f t="shared" si="107"/>
        <v>#VALUE!</v>
      </c>
      <c r="BT16" s="1147">
        <f>VLOOKUP(AP16,'CROP FACTORS'!$C$5:$N$130,7,FALSE)</f>
        <v>4.5</v>
      </c>
      <c r="BU16" s="1148">
        <f>VLOOKUP(AP16,'CROP FACTORS'!$C$5:$P$130,8,FALSE)</f>
        <v>1</v>
      </c>
      <c r="BV16" s="1149">
        <f t="shared" si="108"/>
        <v>4.4858000000000002</v>
      </c>
      <c r="BW16" s="1150">
        <f t="shared" si="109"/>
        <v>0.99989918508216535</v>
      </c>
      <c r="BX16" s="1137">
        <f>VLOOKUP(AP16,'CROP FACTORS'!$C$5:$N$130,10,FALSE)</f>
        <v>6</v>
      </c>
      <c r="BY16" s="1138">
        <f t="shared" si="110"/>
        <v>59.366173199999992</v>
      </c>
      <c r="BZ16" s="956">
        <f t="shared" si="111"/>
        <v>0.01</v>
      </c>
      <c r="CA16" s="956">
        <f t="shared" si="112"/>
        <v>1.01</v>
      </c>
      <c r="CB16" s="1148">
        <f t="shared" si="113"/>
        <v>60.445450228775989</v>
      </c>
      <c r="CC16" s="1148">
        <f t="shared" si="114"/>
        <v>60.55943328131999</v>
      </c>
      <c r="CD16" s="956">
        <f t="shared" si="115"/>
        <v>140</v>
      </c>
      <c r="CE16" s="956">
        <f t="shared" si="116"/>
        <v>90000</v>
      </c>
      <c r="CF16" s="956">
        <f t="shared" si="117"/>
        <v>1.4</v>
      </c>
      <c r="CG16" s="956">
        <f t="shared" si="118"/>
        <v>0.02</v>
      </c>
      <c r="CH16" s="956">
        <f t="shared" si="119"/>
        <v>128267.99999999999</v>
      </c>
      <c r="CI16" s="956">
        <f t="shared" si="120"/>
        <v>128519.99999999999</v>
      </c>
      <c r="CJ16" s="1138">
        <f t="shared" si="121"/>
        <v>1.25</v>
      </c>
      <c r="CK16" s="1138">
        <f t="shared" si="122"/>
        <v>2.1</v>
      </c>
      <c r="CL16" s="1138">
        <f t="shared" si="123"/>
        <v>1.25</v>
      </c>
      <c r="CM16" s="1138">
        <f t="shared" si="124"/>
        <v>1.25</v>
      </c>
      <c r="CN16" s="1151">
        <f t="shared" si="125"/>
        <v>5.8</v>
      </c>
      <c r="CO16" s="1138">
        <f t="shared" si="126"/>
        <v>0.87654742526366869</v>
      </c>
      <c r="CP16" s="1138">
        <f t="shared" si="127"/>
        <v>0.87634341567515461</v>
      </c>
      <c r="CQ16" s="1152">
        <f t="shared" si="128"/>
        <v>0.87654742526366869</v>
      </c>
      <c r="CR16" s="1153">
        <f t="shared" si="129"/>
        <v>0.87634341567515461</v>
      </c>
      <c r="CS16" s="1137">
        <f t="shared" si="130"/>
        <v>0.79600000000000004</v>
      </c>
      <c r="CT16" s="956">
        <f t="shared" si="131"/>
        <v>16.945</v>
      </c>
      <c r="CU16" s="956">
        <f t="shared" si="132"/>
        <v>-10.79</v>
      </c>
      <c r="CV16" s="956">
        <f t="shared" si="133"/>
        <v>0</v>
      </c>
      <c r="CW16" s="956">
        <f t="shared" si="134"/>
        <v>9.3587152000000007</v>
      </c>
      <c r="CX16" s="956">
        <f t="shared" si="135"/>
        <v>-10.275524000000001</v>
      </c>
      <c r="CY16" s="1154">
        <f t="shared" si="136"/>
        <v>1.2422985920772134</v>
      </c>
      <c r="CZ16" s="1155">
        <f t="shared" si="137"/>
        <v>0.70318724009974654</v>
      </c>
      <c r="DA16" s="1137" t="e">
        <f>MIN(VLOOKUP(AP16,'CROP FACTORS'!$C$5:$N$130,2,FALSE),VLOOKUP(AQ16,'CROP FACTORS'!$C$5:$N$130,2,FALSE))</f>
        <v>#N/A</v>
      </c>
      <c r="DB16" s="956" t="e">
        <f>MIN(VLOOKUP(AP16,'CROP FACTORS'!$C$5:$N$130,4,FALSE),VLOOKUP(AQ16,'CROP FACTORS'!$C$5:$N$130,4,FALSE))</f>
        <v>#N/A</v>
      </c>
      <c r="DC16" s="1156" t="e">
        <f t="shared" si="138"/>
        <v>#N/A</v>
      </c>
      <c r="DD16" s="1138">
        <f t="shared" si="139"/>
        <v>1.22</v>
      </c>
      <c r="DE16" s="1157" t="str">
        <f t="shared" si="140"/>
        <v>.</v>
      </c>
      <c r="DF16" s="1138" t="e">
        <f t="shared" si="141"/>
        <v>#N/A</v>
      </c>
      <c r="DG16" s="1158" t="e">
        <f t="shared" si="142"/>
        <v>#N/A</v>
      </c>
      <c r="DH16" s="1159" t="str">
        <f t="shared" si="143"/>
        <v>.</v>
      </c>
      <c r="DI16" s="1153" t="e">
        <f t="shared" si="144"/>
        <v>#VALUE!</v>
      </c>
      <c r="DJ16" s="1133">
        <f t="shared" si="145"/>
        <v>5.8</v>
      </c>
      <c r="DK16" s="1160">
        <f t="shared" si="146"/>
        <v>2.7</v>
      </c>
      <c r="DL16" s="1134">
        <f t="shared" si="147"/>
        <v>2.1</v>
      </c>
      <c r="DM16" s="1161">
        <f t="shared" si="148"/>
        <v>43.427535819851528</v>
      </c>
      <c r="DN16" s="1144">
        <f t="shared" si="149"/>
        <v>48.546000000000006</v>
      </c>
      <c r="DO16" s="1162">
        <f t="shared" si="150"/>
        <v>0.14683872692174951</v>
      </c>
      <c r="DP16" s="1163">
        <f t="shared" si="151"/>
        <v>0.14683872692174951</v>
      </c>
      <c r="DQ16" s="1133">
        <f t="shared" si="152"/>
        <v>1.0745</v>
      </c>
      <c r="DR16" s="1134">
        <f t="shared" si="153"/>
        <v>-1.3429999999999999E-2</v>
      </c>
      <c r="DS16" s="1164">
        <f t="shared" si="154"/>
        <v>45.355999999999995</v>
      </c>
      <c r="DT16" s="1146">
        <f t="shared" si="155"/>
        <v>0.49016196870744488</v>
      </c>
      <c r="DU16" s="1165">
        <f t="shared" si="156"/>
        <v>0.98746992136006972</v>
      </c>
      <c r="DV16" s="1166">
        <f t="shared" si="157"/>
        <v>1</v>
      </c>
      <c r="DW16" s="1166">
        <f t="shared" si="158"/>
        <v>0.9999526081912915</v>
      </c>
      <c r="DX16" s="1166"/>
      <c r="DY16" s="1166">
        <f t="shared" si="159"/>
        <v>0.99989918508216535</v>
      </c>
      <c r="DZ16" s="1166">
        <f t="shared" si="160"/>
        <v>0.87654742526366869</v>
      </c>
      <c r="EA16" s="1138"/>
      <c r="EB16" s="1166">
        <f t="shared" si="161"/>
        <v>0.70318724009974654</v>
      </c>
      <c r="EC16" s="1166"/>
      <c r="ED16" s="1138"/>
      <c r="EE16" s="1166">
        <f t="shared" si="162"/>
        <v>0.14683872692174951</v>
      </c>
      <c r="EF16" s="1140">
        <f t="shared" si="163"/>
        <v>0.49016196870744488</v>
      </c>
      <c r="EG16" s="1159">
        <f t="shared" si="164"/>
        <v>6.2040570756261353</v>
      </c>
      <c r="EH16" s="1167">
        <f t="shared" si="165"/>
        <v>8</v>
      </c>
      <c r="EI16" s="1312">
        <f t="shared" si="166"/>
        <v>0.77550713445326691</v>
      </c>
      <c r="EJ16" s="1168">
        <f t="shared" si="167"/>
        <v>1.7031872400997465</v>
      </c>
      <c r="EK16" s="1169">
        <f t="shared" si="168"/>
        <v>2</v>
      </c>
      <c r="EL16" s="1170">
        <f t="shared" si="169"/>
        <v>0.85159362004987327</v>
      </c>
      <c r="EM16" s="1159">
        <f t="shared" si="170"/>
        <v>0.99989918508216535</v>
      </c>
      <c r="EN16" s="1167">
        <f t="shared" si="171"/>
        <v>1</v>
      </c>
      <c r="EO16" s="1171">
        <f t="shared" si="172"/>
        <v>0.99989918508216535</v>
      </c>
      <c r="EP16" s="1168">
        <f t="shared" si="173"/>
        <v>2.1342612564731107</v>
      </c>
      <c r="EQ16" s="1169">
        <f t="shared" si="174"/>
        <v>3</v>
      </c>
      <c r="ER16" s="1146">
        <f t="shared" si="175"/>
        <v>0.71142041882437024</v>
      </c>
      <c r="ES16" s="1159">
        <f t="shared" si="176"/>
        <v>1.3667093939711137</v>
      </c>
      <c r="ET16" s="1167">
        <f t="shared" si="177"/>
        <v>2</v>
      </c>
      <c r="EU16" s="1155">
        <f t="shared" si="178"/>
        <v>0.68335469698555684</v>
      </c>
      <c r="EV16" s="1159">
        <f t="shared" si="179"/>
        <v>2.3666085790532789</v>
      </c>
      <c r="EW16" s="1167">
        <f t="shared" si="180"/>
        <v>3</v>
      </c>
      <c r="EX16" s="1155">
        <f t="shared" si="181"/>
        <v>0.78886952635109298</v>
      </c>
    </row>
    <row r="17" spans="2:154" s="1200" customFormat="1" ht="19.5" customHeight="1">
      <c r="B17" s="1218" t="s">
        <v>1263</v>
      </c>
      <c r="C17" s="1219">
        <v>7</v>
      </c>
      <c r="D17" s="1220" t="s">
        <v>1264</v>
      </c>
      <c r="E17" s="1220" t="s">
        <v>1265</v>
      </c>
      <c r="F17" s="1221" t="s">
        <v>1266</v>
      </c>
      <c r="P17" s="963"/>
      <c r="V17" s="1278">
        <v>30.2</v>
      </c>
      <c r="W17" s="1262">
        <v>1.5449999999999999</v>
      </c>
      <c r="X17" s="1283">
        <v>90.54</v>
      </c>
      <c r="Y17" s="1272">
        <v>464.18142717497568</v>
      </c>
      <c r="Z17" s="1255" t="s">
        <v>1058</v>
      </c>
      <c r="AA17" s="1277">
        <v>4.3936000000000002</v>
      </c>
      <c r="AB17" s="1261">
        <v>6.2</v>
      </c>
      <c r="AC17" s="1282">
        <v>1.2403073535268352</v>
      </c>
      <c r="AD17" s="1271" t="s">
        <v>1058</v>
      </c>
      <c r="AE17" s="1271" t="s">
        <v>1058</v>
      </c>
      <c r="AF17" s="1254">
        <v>51.002682585206422</v>
      </c>
      <c r="AG17" s="1282">
        <v>36.753999999999998</v>
      </c>
      <c r="AH17" s="1280">
        <v>4</v>
      </c>
      <c r="AI17" s="1280">
        <v>4</v>
      </c>
      <c r="AJ17" s="1280">
        <v>4</v>
      </c>
      <c r="AK17" s="1280">
        <v>1</v>
      </c>
      <c r="AL17" s="1280">
        <v>2</v>
      </c>
      <c r="AM17" s="1280">
        <v>2</v>
      </c>
      <c r="AN17" s="1280">
        <v>3</v>
      </c>
      <c r="AO17" s="1280">
        <v>2</v>
      </c>
      <c r="AP17" s="1253">
        <v>107</v>
      </c>
      <c r="AQ17" s="1280"/>
      <c r="AR17" s="1280">
        <v>2</v>
      </c>
      <c r="AS17" s="1280">
        <v>5</v>
      </c>
      <c r="AT17" s="1280">
        <v>2</v>
      </c>
      <c r="AU17" s="1280"/>
      <c r="AV17" s="1133">
        <f t="shared" si="84"/>
        <v>3.81</v>
      </c>
      <c r="AW17" s="1134">
        <f t="shared" si="85"/>
        <v>1.05</v>
      </c>
      <c r="AX17" s="1134">
        <f t="shared" si="86"/>
        <v>0.15</v>
      </c>
      <c r="AY17" s="1135">
        <f t="shared" si="87"/>
        <v>1.5449999999999999</v>
      </c>
      <c r="AZ17" s="1136">
        <f t="shared" si="88"/>
        <v>0.96060284203170765</v>
      </c>
      <c r="BA17" s="1137">
        <f t="shared" si="89"/>
        <v>0.89993809999999996</v>
      </c>
      <c r="BB17" s="956">
        <f t="shared" si="90"/>
        <v>1.1599999999999999</v>
      </c>
      <c r="BC17" s="1138">
        <f t="shared" si="91"/>
        <v>1</v>
      </c>
      <c r="BD17" s="1139">
        <f t="shared" si="92"/>
        <v>90.54</v>
      </c>
      <c r="BE17" s="1138">
        <f t="shared" si="93"/>
        <v>0.54700511561394671</v>
      </c>
      <c r="BF17" s="1140">
        <f t="shared" si="94"/>
        <v>1</v>
      </c>
      <c r="BG17" s="1137">
        <f t="shared" si="95"/>
        <v>0.03</v>
      </c>
      <c r="BH17" s="956">
        <f t="shared" si="96"/>
        <v>1</v>
      </c>
      <c r="BI17" s="956">
        <f t="shared" si="97"/>
        <v>1.08</v>
      </c>
      <c r="BJ17" s="956">
        <f t="shared" si="98"/>
        <v>0</v>
      </c>
      <c r="BK17" s="956">
        <f t="shared" si="99"/>
        <v>1.08</v>
      </c>
      <c r="BL17" s="956">
        <f t="shared" si="100"/>
        <v>0</v>
      </c>
      <c r="BM17" s="1141">
        <f t="shared" si="101"/>
        <v>464.18142717497568</v>
      </c>
      <c r="BN17" s="1142">
        <f t="shared" si="102"/>
        <v>0.99998801774154278</v>
      </c>
      <c r="BO17" s="1143">
        <f t="shared" si="103"/>
        <v>0.43227500000000002</v>
      </c>
      <c r="BP17" s="1144">
        <f t="shared" si="104"/>
        <v>0.9</v>
      </c>
      <c r="BQ17" s="1134">
        <f t="shared" si="105"/>
        <v>0.9</v>
      </c>
      <c r="BR17" s="1145" t="str">
        <f t="shared" si="106"/>
        <v>.</v>
      </c>
      <c r="BS17" s="1146" t="e">
        <f t="shared" si="107"/>
        <v>#VALUE!</v>
      </c>
      <c r="BT17" s="1147">
        <f>VLOOKUP(AP17,'CROP FACTORS'!$C$5:$N$130,7,FALSE)</f>
        <v>4.5</v>
      </c>
      <c r="BU17" s="1148">
        <f>VLOOKUP(AP17,'CROP FACTORS'!$C$5:$P$130,8,FALSE)</f>
        <v>1</v>
      </c>
      <c r="BV17" s="1149">
        <f t="shared" si="108"/>
        <v>4.3936000000000002</v>
      </c>
      <c r="BW17" s="1150">
        <f t="shared" si="109"/>
        <v>0.99435551033170444</v>
      </c>
      <c r="BX17" s="1137">
        <f>VLOOKUP(AP17,'CROP FACTORS'!$C$5:$N$130,10,FALSE)</f>
        <v>6</v>
      </c>
      <c r="BY17" s="1138">
        <f t="shared" si="110"/>
        <v>59.366173199999992</v>
      </c>
      <c r="BZ17" s="956">
        <f t="shared" si="111"/>
        <v>0.01</v>
      </c>
      <c r="CA17" s="956">
        <f t="shared" si="112"/>
        <v>1.01</v>
      </c>
      <c r="CB17" s="1148">
        <f t="shared" si="113"/>
        <v>60.292552649699388</v>
      </c>
      <c r="CC17" s="1148">
        <f t="shared" si="114"/>
        <v>60.55943328131999</v>
      </c>
      <c r="CD17" s="956">
        <f t="shared" si="115"/>
        <v>140</v>
      </c>
      <c r="CE17" s="956">
        <f t="shared" si="116"/>
        <v>90000</v>
      </c>
      <c r="CF17" s="956">
        <f t="shared" si="117"/>
        <v>1.4</v>
      </c>
      <c r="CG17" s="956">
        <f t="shared" si="118"/>
        <v>0.02</v>
      </c>
      <c r="CH17" s="956">
        <f t="shared" si="119"/>
        <v>127946.7</v>
      </c>
      <c r="CI17" s="956">
        <f t="shared" si="120"/>
        <v>128519.99999999999</v>
      </c>
      <c r="CJ17" s="1138">
        <f t="shared" si="121"/>
        <v>1.25</v>
      </c>
      <c r="CK17" s="1138">
        <f t="shared" si="122"/>
        <v>2.1</v>
      </c>
      <c r="CL17" s="1138">
        <f t="shared" si="123"/>
        <v>1.25</v>
      </c>
      <c r="CM17" s="1138">
        <f t="shared" si="124"/>
        <v>1.25</v>
      </c>
      <c r="CN17" s="1151">
        <f t="shared" si="125"/>
        <v>6.2</v>
      </c>
      <c r="CO17" s="1138">
        <f t="shared" si="126"/>
        <v>0.89722290540395921</v>
      </c>
      <c r="CP17" s="1138">
        <f t="shared" si="127"/>
        <v>0.89681491299645388</v>
      </c>
      <c r="CQ17" s="1152">
        <f t="shared" si="128"/>
        <v>0.89722290540395921</v>
      </c>
      <c r="CR17" s="1153">
        <f t="shared" si="129"/>
        <v>0.89681491299645388</v>
      </c>
      <c r="CS17" s="1137">
        <f t="shared" si="130"/>
        <v>0.79600000000000004</v>
      </c>
      <c r="CT17" s="956">
        <f t="shared" si="131"/>
        <v>16.945</v>
      </c>
      <c r="CU17" s="956">
        <f t="shared" si="132"/>
        <v>-10.79</v>
      </c>
      <c r="CV17" s="956">
        <f t="shared" si="133"/>
        <v>0</v>
      </c>
      <c r="CW17" s="956">
        <f t="shared" si="134"/>
        <v>9.3587152000000007</v>
      </c>
      <c r="CX17" s="956">
        <f t="shared" si="135"/>
        <v>-10.275524000000001</v>
      </c>
      <c r="CY17" s="1154">
        <f t="shared" si="136"/>
        <v>1.2403073535268352</v>
      </c>
      <c r="CZ17" s="1155">
        <f t="shared" si="137"/>
        <v>0.7080135271946133</v>
      </c>
      <c r="DA17" s="1137" t="e">
        <f>MIN(VLOOKUP(AP17,'CROP FACTORS'!$C$5:$N$130,2,FALSE),VLOOKUP(AQ17,'CROP FACTORS'!$C$5:$N$130,2,FALSE))</f>
        <v>#N/A</v>
      </c>
      <c r="DB17" s="956" t="e">
        <f>MIN(VLOOKUP(AP17,'CROP FACTORS'!$C$5:$N$130,4,FALSE),VLOOKUP(AQ17,'CROP FACTORS'!$C$5:$N$130,4,FALSE))</f>
        <v>#N/A</v>
      </c>
      <c r="DC17" s="1156" t="e">
        <f t="shared" si="138"/>
        <v>#N/A</v>
      </c>
      <c r="DD17" s="1138">
        <f t="shared" si="139"/>
        <v>1.22</v>
      </c>
      <c r="DE17" s="1157" t="str">
        <f t="shared" si="140"/>
        <v>.</v>
      </c>
      <c r="DF17" s="1138" t="e">
        <f t="shared" si="141"/>
        <v>#N/A</v>
      </c>
      <c r="DG17" s="1158" t="e">
        <f t="shared" si="142"/>
        <v>#N/A</v>
      </c>
      <c r="DH17" s="1159" t="str">
        <f t="shared" si="143"/>
        <v>.</v>
      </c>
      <c r="DI17" s="1153" t="e">
        <f t="shared" si="144"/>
        <v>#VALUE!</v>
      </c>
      <c r="DJ17" s="1133">
        <f t="shared" si="145"/>
        <v>5.8</v>
      </c>
      <c r="DK17" s="1160">
        <f t="shared" si="146"/>
        <v>2.7</v>
      </c>
      <c r="DL17" s="1134">
        <f t="shared" si="147"/>
        <v>2.1</v>
      </c>
      <c r="DM17" s="1161">
        <f t="shared" si="148"/>
        <v>51.002682585206422</v>
      </c>
      <c r="DN17" s="1144">
        <f t="shared" si="149"/>
        <v>48.546000000000006</v>
      </c>
      <c r="DO17" s="1162">
        <f t="shared" si="150"/>
        <v>0.19923014269603487</v>
      </c>
      <c r="DP17" s="1163">
        <f t="shared" si="151"/>
        <v>0.19923014269603487</v>
      </c>
      <c r="DQ17" s="1133">
        <f t="shared" si="152"/>
        <v>1.0745</v>
      </c>
      <c r="DR17" s="1134">
        <f t="shared" si="153"/>
        <v>-1.3429999999999999E-2</v>
      </c>
      <c r="DS17" s="1164">
        <f t="shared" si="154"/>
        <v>36.753999999999998</v>
      </c>
      <c r="DT17" s="1146">
        <f t="shared" si="155"/>
        <v>0.41860252010537063</v>
      </c>
      <c r="DU17" s="1165">
        <f t="shared" si="156"/>
        <v>0.96060284203170765</v>
      </c>
      <c r="DV17" s="1166">
        <f t="shared" si="157"/>
        <v>1</v>
      </c>
      <c r="DW17" s="1166">
        <f t="shared" si="158"/>
        <v>0.99998801774154278</v>
      </c>
      <c r="DX17" s="1166"/>
      <c r="DY17" s="1166">
        <f t="shared" si="159"/>
        <v>0.99435551033170444</v>
      </c>
      <c r="DZ17" s="1166">
        <f t="shared" si="160"/>
        <v>0.89722290540395921</v>
      </c>
      <c r="EA17" s="1138"/>
      <c r="EB17" s="1166">
        <f t="shared" si="161"/>
        <v>0.7080135271946133</v>
      </c>
      <c r="EC17" s="1166"/>
      <c r="ED17" s="1138"/>
      <c r="EE17" s="1166">
        <f t="shared" si="162"/>
        <v>0.19923014269603487</v>
      </c>
      <c r="EF17" s="1140">
        <f t="shared" si="163"/>
        <v>0.41860252010537063</v>
      </c>
      <c r="EG17" s="1159">
        <f t="shared" si="164"/>
        <v>6.1780154655049326</v>
      </c>
      <c r="EH17" s="1167">
        <f t="shared" si="165"/>
        <v>8</v>
      </c>
      <c r="EI17" s="1312">
        <f t="shared" si="166"/>
        <v>0.77225193318811658</v>
      </c>
      <c r="EJ17" s="1168">
        <f t="shared" si="167"/>
        <v>1.7080135271946133</v>
      </c>
      <c r="EK17" s="1169">
        <f t="shared" si="168"/>
        <v>2</v>
      </c>
      <c r="EL17" s="1170">
        <f t="shared" si="169"/>
        <v>0.85400676359730665</v>
      </c>
      <c r="EM17" s="1159">
        <f t="shared" si="170"/>
        <v>0.99435551033170444</v>
      </c>
      <c r="EN17" s="1167">
        <f t="shared" si="171"/>
        <v>1</v>
      </c>
      <c r="EO17" s="1171">
        <f t="shared" si="172"/>
        <v>0.99435551033170444</v>
      </c>
      <c r="EP17" s="1168">
        <f t="shared" si="173"/>
        <v>2.1598210024692852</v>
      </c>
      <c r="EQ17" s="1169">
        <f t="shared" si="174"/>
        <v>3</v>
      </c>
      <c r="ER17" s="1146">
        <f t="shared" si="175"/>
        <v>0.71994033415642844</v>
      </c>
      <c r="ES17" s="1159">
        <f t="shared" si="176"/>
        <v>1.3158254255093298</v>
      </c>
      <c r="ET17" s="1167">
        <f t="shared" si="177"/>
        <v>2</v>
      </c>
      <c r="EU17" s="1155">
        <f t="shared" si="178"/>
        <v>0.6579127127546649</v>
      </c>
      <c r="EV17" s="1159">
        <f t="shared" si="179"/>
        <v>2.3101809358410343</v>
      </c>
      <c r="EW17" s="1167">
        <f t="shared" si="180"/>
        <v>3</v>
      </c>
      <c r="EX17" s="1155">
        <f t="shared" si="181"/>
        <v>0.77006031194701141</v>
      </c>
    </row>
    <row r="18" spans="2:154" s="1200" customFormat="1">
      <c r="B18" s="1218" t="s">
        <v>1263</v>
      </c>
      <c r="C18" s="1219">
        <v>8</v>
      </c>
      <c r="D18" s="1220" t="s">
        <v>1264</v>
      </c>
      <c r="E18" s="1220" t="s">
        <v>1265</v>
      </c>
      <c r="F18" s="1221" t="s">
        <v>1266</v>
      </c>
      <c r="P18" s="963"/>
      <c r="V18" s="1268">
        <v>25.1</v>
      </c>
      <c r="W18" s="1276">
        <v>1.43</v>
      </c>
      <c r="X18" s="1260">
        <v>92.3</v>
      </c>
      <c r="Y18" s="1272">
        <v>259.4059514059515</v>
      </c>
      <c r="Z18" s="1255" t="s">
        <v>1058</v>
      </c>
      <c r="AA18" s="1277">
        <v>4.3014000000000001</v>
      </c>
      <c r="AB18" s="1299">
        <v>5.4</v>
      </c>
      <c r="AC18" s="1291">
        <v>1.2510834680347649</v>
      </c>
      <c r="AD18" s="1271" t="s">
        <v>1058</v>
      </c>
      <c r="AE18" s="1271" t="s">
        <v>1058</v>
      </c>
      <c r="AF18" s="1254">
        <v>54.600733988966184</v>
      </c>
      <c r="AG18" s="1282">
        <v>37.536000000000001</v>
      </c>
      <c r="AH18" s="1280">
        <v>4</v>
      </c>
      <c r="AI18" s="1280">
        <v>4</v>
      </c>
      <c r="AJ18" s="1280">
        <v>4</v>
      </c>
      <c r="AK18" s="1280">
        <v>1</v>
      </c>
      <c r="AL18" s="1280">
        <v>2</v>
      </c>
      <c r="AM18" s="1280">
        <v>2</v>
      </c>
      <c r="AN18" s="1280">
        <v>3</v>
      </c>
      <c r="AO18" s="1280">
        <v>2</v>
      </c>
      <c r="AP18" s="1253">
        <v>107</v>
      </c>
      <c r="AQ18" s="1280"/>
      <c r="AR18" s="1280">
        <v>2</v>
      </c>
      <c r="AS18" s="1280">
        <v>5</v>
      </c>
      <c r="AT18" s="1280">
        <v>2</v>
      </c>
      <c r="AU18" s="1280"/>
      <c r="AV18" s="1133">
        <f t="shared" si="84"/>
        <v>3.81</v>
      </c>
      <c r="AW18" s="1134">
        <f t="shared" si="85"/>
        <v>1.05</v>
      </c>
      <c r="AX18" s="1134">
        <f t="shared" si="86"/>
        <v>0.15</v>
      </c>
      <c r="AY18" s="1135">
        <f t="shared" si="87"/>
        <v>1.43</v>
      </c>
      <c r="AZ18" s="1136">
        <f t="shared" si="88"/>
        <v>0.93491741771564874</v>
      </c>
      <c r="BA18" s="1137">
        <f t="shared" si="89"/>
        <v>0.89993809999999996</v>
      </c>
      <c r="BB18" s="956">
        <f t="shared" si="90"/>
        <v>1.1599999999999999</v>
      </c>
      <c r="BC18" s="1138">
        <f t="shared" si="91"/>
        <v>1</v>
      </c>
      <c r="BD18" s="1139">
        <f t="shared" si="92"/>
        <v>92.3</v>
      </c>
      <c r="BE18" s="1138">
        <f t="shared" si="93"/>
        <v>0.50479410057592078</v>
      </c>
      <c r="BF18" s="1140">
        <f t="shared" si="94"/>
        <v>1</v>
      </c>
      <c r="BG18" s="1137">
        <f t="shared" si="95"/>
        <v>0.03</v>
      </c>
      <c r="BH18" s="956">
        <f t="shared" si="96"/>
        <v>1</v>
      </c>
      <c r="BI18" s="956">
        <f t="shared" si="97"/>
        <v>1.08</v>
      </c>
      <c r="BJ18" s="956">
        <f t="shared" si="98"/>
        <v>0</v>
      </c>
      <c r="BK18" s="956">
        <f t="shared" si="99"/>
        <v>1.08</v>
      </c>
      <c r="BL18" s="956">
        <f t="shared" si="100"/>
        <v>0</v>
      </c>
      <c r="BM18" s="1141">
        <f t="shared" si="101"/>
        <v>259.4059514059515</v>
      </c>
      <c r="BN18" s="1142">
        <f t="shared" si="102"/>
        <v>0.9909629653440154</v>
      </c>
      <c r="BO18" s="1143">
        <f t="shared" si="103"/>
        <v>0.43227500000000002</v>
      </c>
      <c r="BP18" s="1144">
        <f t="shared" si="104"/>
        <v>0.9</v>
      </c>
      <c r="BQ18" s="1134">
        <f t="shared" si="105"/>
        <v>0.9</v>
      </c>
      <c r="BR18" s="1145" t="str">
        <f t="shared" si="106"/>
        <v>.</v>
      </c>
      <c r="BS18" s="1146" t="e">
        <f t="shared" si="107"/>
        <v>#VALUE!</v>
      </c>
      <c r="BT18" s="1147">
        <f>VLOOKUP(AP18,'CROP FACTORS'!$C$5:$N$130,7,FALSE)</f>
        <v>4.5</v>
      </c>
      <c r="BU18" s="1148">
        <f>VLOOKUP(AP18,'CROP FACTORS'!$C$5:$P$130,8,FALSE)</f>
        <v>1</v>
      </c>
      <c r="BV18" s="1149">
        <f t="shared" si="108"/>
        <v>4.3014000000000001</v>
      </c>
      <c r="BW18" s="1150">
        <f t="shared" si="109"/>
        <v>0.98047220649942246</v>
      </c>
      <c r="BX18" s="1137">
        <f>VLOOKUP(AP18,'CROP FACTORS'!$C$5:$N$130,10,FALSE)</f>
        <v>6</v>
      </c>
      <c r="BY18" s="1138">
        <f t="shared" si="110"/>
        <v>59.366173199999992</v>
      </c>
      <c r="BZ18" s="956">
        <f t="shared" si="111"/>
        <v>0.01</v>
      </c>
      <c r="CA18" s="956">
        <f t="shared" si="112"/>
        <v>1.01</v>
      </c>
      <c r="CB18" s="1148">
        <f t="shared" si="113"/>
        <v>60.22359883952759</v>
      </c>
      <c r="CC18" s="1148">
        <f t="shared" si="114"/>
        <v>60.55943328131999</v>
      </c>
      <c r="CD18" s="956">
        <f t="shared" si="115"/>
        <v>140</v>
      </c>
      <c r="CE18" s="956">
        <f t="shared" si="116"/>
        <v>90000</v>
      </c>
      <c r="CF18" s="956">
        <f t="shared" si="117"/>
        <v>1.4</v>
      </c>
      <c r="CG18" s="956">
        <f t="shared" si="118"/>
        <v>0.02</v>
      </c>
      <c r="CH18" s="956">
        <f t="shared" si="119"/>
        <v>127801.79999999999</v>
      </c>
      <c r="CI18" s="956">
        <f t="shared" si="120"/>
        <v>128519.99999999999</v>
      </c>
      <c r="CJ18" s="1138">
        <f t="shared" si="121"/>
        <v>1.25</v>
      </c>
      <c r="CK18" s="1138">
        <f t="shared" si="122"/>
        <v>2.1</v>
      </c>
      <c r="CL18" s="1138">
        <f t="shared" si="123"/>
        <v>1.25</v>
      </c>
      <c r="CM18" s="1138">
        <f t="shared" si="124"/>
        <v>1.25</v>
      </c>
      <c r="CN18" s="1151">
        <f t="shared" si="125"/>
        <v>5.4</v>
      </c>
      <c r="CO18" s="1138">
        <f t="shared" si="126"/>
        <v>0.85133960614211623</v>
      </c>
      <c r="CP18" s="1138">
        <f t="shared" si="127"/>
        <v>0.85063443251599102</v>
      </c>
      <c r="CQ18" s="1152">
        <f t="shared" si="128"/>
        <v>0.85133960614211623</v>
      </c>
      <c r="CR18" s="1153">
        <f t="shared" si="129"/>
        <v>0.85063443251599102</v>
      </c>
      <c r="CS18" s="1137">
        <f t="shared" si="130"/>
        <v>0.79600000000000004</v>
      </c>
      <c r="CT18" s="956">
        <f t="shared" si="131"/>
        <v>16.945</v>
      </c>
      <c r="CU18" s="956">
        <f t="shared" si="132"/>
        <v>-10.79</v>
      </c>
      <c r="CV18" s="956">
        <f t="shared" si="133"/>
        <v>0</v>
      </c>
      <c r="CW18" s="956">
        <f t="shared" si="134"/>
        <v>9.3587152000000007</v>
      </c>
      <c r="CX18" s="956">
        <f t="shared" si="135"/>
        <v>-10.275524000000001</v>
      </c>
      <c r="CY18" s="1154">
        <f t="shared" si="136"/>
        <v>1.2510834680347649</v>
      </c>
      <c r="CZ18" s="1155">
        <f t="shared" si="137"/>
        <v>0.68199756014671009</v>
      </c>
      <c r="DA18" s="1137" t="e">
        <f>MIN(VLOOKUP(AP18,'CROP FACTORS'!$C$5:$N$130,2,FALSE),VLOOKUP(AQ18,'CROP FACTORS'!$C$5:$N$130,2,FALSE))</f>
        <v>#N/A</v>
      </c>
      <c r="DB18" s="956" t="e">
        <f>MIN(VLOOKUP(AP18,'CROP FACTORS'!$C$5:$N$130,4,FALSE),VLOOKUP(AQ18,'CROP FACTORS'!$C$5:$N$130,4,FALSE))</f>
        <v>#N/A</v>
      </c>
      <c r="DC18" s="1156" t="e">
        <f t="shared" si="138"/>
        <v>#N/A</v>
      </c>
      <c r="DD18" s="1138">
        <f t="shared" si="139"/>
        <v>1.22</v>
      </c>
      <c r="DE18" s="1157" t="str">
        <f t="shared" si="140"/>
        <v>.</v>
      </c>
      <c r="DF18" s="1138" t="e">
        <f t="shared" si="141"/>
        <v>#N/A</v>
      </c>
      <c r="DG18" s="1158" t="e">
        <f t="shared" si="142"/>
        <v>#N/A</v>
      </c>
      <c r="DH18" s="1159" t="str">
        <f t="shared" si="143"/>
        <v>.</v>
      </c>
      <c r="DI18" s="1153" t="e">
        <f t="shared" si="144"/>
        <v>#VALUE!</v>
      </c>
      <c r="DJ18" s="1133">
        <f t="shared" si="145"/>
        <v>5.8</v>
      </c>
      <c r="DK18" s="1160">
        <f t="shared" si="146"/>
        <v>2.7</v>
      </c>
      <c r="DL18" s="1134">
        <f t="shared" si="147"/>
        <v>2.1</v>
      </c>
      <c r="DM18" s="1161">
        <f t="shared" si="148"/>
        <v>54.600733988966184</v>
      </c>
      <c r="DN18" s="1144">
        <f t="shared" si="149"/>
        <v>48.546000000000006</v>
      </c>
      <c r="DO18" s="1162">
        <f t="shared" si="150"/>
        <v>0.22864613703822192</v>
      </c>
      <c r="DP18" s="1163">
        <f t="shared" si="151"/>
        <v>0.22864613703822192</v>
      </c>
      <c r="DQ18" s="1133">
        <f t="shared" si="152"/>
        <v>1.0745</v>
      </c>
      <c r="DR18" s="1134">
        <f t="shared" si="153"/>
        <v>-1.3429999999999999E-2</v>
      </c>
      <c r="DS18" s="1164">
        <f t="shared" si="154"/>
        <v>37.536000000000001</v>
      </c>
      <c r="DT18" s="1146">
        <f t="shared" si="155"/>
        <v>0.42545488035504297</v>
      </c>
      <c r="DU18" s="1165">
        <f t="shared" si="156"/>
        <v>0.93491741771564874</v>
      </c>
      <c r="DV18" s="1166">
        <f t="shared" si="157"/>
        <v>1</v>
      </c>
      <c r="DW18" s="1166">
        <f t="shared" si="158"/>
        <v>0.9909629653440154</v>
      </c>
      <c r="DX18" s="1166"/>
      <c r="DY18" s="1166">
        <f t="shared" si="159"/>
        <v>0.98047220649942246</v>
      </c>
      <c r="DZ18" s="1166">
        <f t="shared" si="160"/>
        <v>0.85133960614211623</v>
      </c>
      <c r="EA18" s="1138"/>
      <c r="EB18" s="1166">
        <f t="shared" si="161"/>
        <v>0.68199756014671009</v>
      </c>
      <c r="EC18" s="1166"/>
      <c r="ED18" s="1138"/>
      <c r="EE18" s="1166">
        <f t="shared" si="162"/>
        <v>0.22864613703822192</v>
      </c>
      <c r="EF18" s="1140">
        <f t="shared" si="163"/>
        <v>0.42545488035504297</v>
      </c>
      <c r="EG18" s="1159">
        <f t="shared" si="164"/>
        <v>6.0937907732411789</v>
      </c>
      <c r="EH18" s="1167">
        <f t="shared" si="165"/>
        <v>8</v>
      </c>
      <c r="EI18" s="1312">
        <f t="shared" si="166"/>
        <v>0.76172384665514736</v>
      </c>
      <c r="EJ18" s="1168">
        <f t="shared" si="167"/>
        <v>1.6819975601467101</v>
      </c>
      <c r="EK18" s="1169">
        <f t="shared" si="168"/>
        <v>2</v>
      </c>
      <c r="EL18" s="1170">
        <f t="shared" si="169"/>
        <v>0.84099878007335505</v>
      </c>
      <c r="EM18" s="1159">
        <f t="shared" si="170"/>
        <v>0.98047220649942246</v>
      </c>
      <c r="EN18" s="1167">
        <f t="shared" si="171"/>
        <v>1</v>
      </c>
      <c r="EO18" s="1171">
        <f t="shared" si="172"/>
        <v>0.98047220649942246</v>
      </c>
      <c r="EP18" s="1168">
        <f t="shared" si="173"/>
        <v>2.1545265200978863</v>
      </c>
      <c r="EQ18" s="1169">
        <f t="shared" si="174"/>
        <v>3</v>
      </c>
      <c r="ER18" s="1146">
        <f t="shared" si="175"/>
        <v>0.71817550669929542</v>
      </c>
      <c r="ES18" s="1159">
        <f t="shared" si="176"/>
        <v>1.2767944864971592</v>
      </c>
      <c r="ET18" s="1167">
        <f t="shared" si="177"/>
        <v>2</v>
      </c>
      <c r="EU18" s="1155">
        <f t="shared" si="178"/>
        <v>0.6383972432485796</v>
      </c>
      <c r="EV18" s="1159">
        <f t="shared" si="179"/>
        <v>2.2572666929965814</v>
      </c>
      <c r="EW18" s="1167">
        <f t="shared" si="180"/>
        <v>3</v>
      </c>
      <c r="EX18" s="1155">
        <f t="shared" si="181"/>
        <v>0.75242223099886052</v>
      </c>
    </row>
    <row r="19" spans="2:154" s="1200" customFormat="1">
      <c r="B19" s="1222" t="s">
        <v>1263</v>
      </c>
      <c r="C19" s="1223">
        <v>9</v>
      </c>
      <c r="D19" s="1224" t="s">
        <v>1264</v>
      </c>
      <c r="E19" s="1224" t="s">
        <v>1265</v>
      </c>
      <c r="F19" s="1225" t="s">
        <v>1266</v>
      </c>
      <c r="P19" s="963"/>
      <c r="V19" s="1286">
        <v>27.9</v>
      </c>
      <c r="W19" s="1295">
        <v>1.3650000000000002</v>
      </c>
      <c r="X19" s="1298">
        <v>86.779999999999987</v>
      </c>
      <c r="Y19" s="1289">
        <v>410.25819321744086</v>
      </c>
      <c r="Z19" s="1255" t="s">
        <v>1058</v>
      </c>
      <c r="AA19" s="1293">
        <v>4.4858000000000002</v>
      </c>
      <c r="AB19" s="1297">
        <v>4.2</v>
      </c>
      <c r="AC19" s="1288">
        <v>1.1125166912643194</v>
      </c>
      <c r="AD19" s="1271" t="s">
        <v>1058</v>
      </c>
      <c r="AE19" s="1271" t="s">
        <v>1058</v>
      </c>
      <c r="AF19" s="1264">
        <v>42.718272925331739</v>
      </c>
      <c r="AG19" s="1288">
        <v>34.017000000000003</v>
      </c>
      <c r="AH19" s="1257">
        <v>4</v>
      </c>
      <c r="AI19" s="1257">
        <v>4</v>
      </c>
      <c r="AJ19" s="1257">
        <v>4</v>
      </c>
      <c r="AK19" s="1257">
        <v>1</v>
      </c>
      <c r="AL19" s="1257">
        <v>2</v>
      </c>
      <c r="AM19" s="1257">
        <v>2</v>
      </c>
      <c r="AN19" s="1257">
        <v>3</v>
      </c>
      <c r="AO19" s="1257">
        <v>2</v>
      </c>
      <c r="AP19" s="1253">
        <v>107</v>
      </c>
      <c r="AQ19" s="1257"/>
      <c r="AR19" s="1257">
        <v>2</v>
      </c>
      <c r="AS19" s="1257">
        <v>5</v>
      </c>
      <c r="AT19" s="1257">
        <v>2</v>
      </c>
      <c r="AU19" s="1257"/>
      <c r="AV19" s="1133">
        <f t="shared" si="84"/>
        <v>3.81</v>
      </c>
      <c r="AW19" s="1134">
        <f t="shared" si="85"/>
        <v>1.05</v>
      </c>
      <c r="AX19" s="1134">
        <f t="shared" si="86"/>
        <v>0.15</v>
      </c>
      <c r="AY19" s="1135">
        <f t="shared" si="87"/>
        <v>1.3650000000000002</v>
      </c>
      <c r="AZ19" s="1136">
        <f t="shared" si="88"/>
        <v>0.9141790944583208</v>
      </c>
      <c r="BA19" s="1137">
        <f t="shared" si="89"/>
        <v>0.89993809999999996</v>
      </c>
      <c r="BB19" s="956">
        <f t="shared" si="90"/>
        <v>1.1599999999999999</v>
      </c>
      <c r="BC19" s="1138">
        <f t="shared" si="91"/>
        <v>1</v>
      </c>
      <c r="BD19" s="1139">
        <f t="shared" si="92"/>
        <v>86.779999999999987</v>
      </c>
      <c r="BE19" s="1138">
        <f t="shared" si="93"/>
        <v>0.63178033489188568</v>
      </c>
      <c r="BF19" s="1140">
        <f t="shared" si="94"/>
        <v>1</v>
      </c>
      <c r="BG19" s="1137">
        <f t="shared" si="95"/>
        <v>0.03</v>
      </c>
      <c r="BH19" s="956">
        <f t="shared" si="96"/>
        <v>1</v>
      </c>
      <c r="BI19" s="956">
        <f t="shared" si="97"/>
        <v>1.08</v>
      </c>
      <c r="BJ19" s="956">
        <f t="shared" si="98"/>
        <v>0</v>
      </c>
      <c r="BK19" s="956">
        <f t="shared" si="99"/>
        <v>1.08</v>
      </c>
      <c r="BL19" s="956">
        <f t="shared" si="100"/>
        <v>0</v>
      </c>
      <c r="BM19" s="1141">
        <f t="shared" si="101"/>
        <v>410.25819321744086</v>
      </c>
      <c r="BN19" s="1142">
        <f t="shared" si="102"/>
        <v>0.99993124956226054</v>
      </c>
      <c r="BO19" s="1143">
        <f t="shared" si="103"/>
        <v>0.43227500000000002</v>
      </c>
      <c r="BP19" s="1144">
        <f t="shared" si="104"/>
        <v>0.9</v>
      </c>
      <c r="BQ19" s="1134">
        <f t="shared" si="105"/>
        <v>0.9</v>
      </c>
      <c r="BR19" s="1145" t="str">
        <f t="shared" si="106"/>
        <v>.</v>
      </c>
      <c r="BS19" s="1146" t="e">
        <f t="shared" si="107"/>
        <v>#VALUE!</v>
      </c>
      <c r="BT19" s="1147">
        <f>VLOOKUP(AP19,'CROP FACTORS'!$C$5:$N$130,7,FALSE)</f>
        <v>4.5</v>
      </c>
      <c r="BU19" s="1148">
        <f>VLOOKUP(AP19,'CROP FACTORS'!$C$5:$P$130,8,FALSE)</f>
        <v>1</v>
      </c>
      <c r="BV19" s="1149">
        <f t="shared" si="108"/>
        <v>4.4858000000000002</v>
      </c>
      <c r="BW19" s="1150">
        <f t="shared" si="109"/>
        <v>0.99989918508216535</v>
      </c>
      <c r="BX19" s="1137">
        <f>VLOOKUP(AP19,'CROP FACTORS'!$C$5:$N$130,10,FALSE)</f>
        <v>6</v>
      </c>
      <c r="BY19" s="1138">
        <f t="shared" si="110"/>
        <v>59.366173199999992</v>
      </c>
      <c r="BZ19" s="956">
        <f t="shared" si="111"/>
        <v>0.01</v>
      </c>
      <c r="CA19" s="956">
        <f t="shared" si="112"/>
        <v>1.01</v>
      </c>
      <c r="CB19" s="1148">
        <f t="shared" si="113"/>
        <v>60.184624946821792</v>
      </c>
      <c r="CC19" s="1148">
        <f t="shared" si="114"/>
        <v>60.55943328131999</v>
      </c>
      <c r="CD19" s="956">
        <f t="shared" si="115"/>
        <v>140</v>
      </c>
      <c r="CE19" s="956">
        <f t="shared" si="116"/>
        <v>90000</v>
      </c>
      <c r="CF19" s="956">
        <f t="shared" si="117"/>
        <v>1.4</v>
      </c>
      <c r="CG19" s="956">
        <f t="shared" si="118"/>
        <v>0.02</v>
      </c>
      <c r="CH19" s="956">
        <f t="shared" si="119"/>
        <v>127719.9</v>
      </c>
      <c r="CI19" s="956">
        <f t="shared" si="120"/>
        <v>128519.99999999999</v>
      </c>
      <c r="CJ19" s="1138">
        <f t="shared" si="121"/>
        <v>1.25</v>
      </c>
      <c r="CK19" s="1138">
        <f t="shared" si="122"/>
        <v>2.1</v>
      </c>
      <c r="CL19" s="1138">
        <f t="shared" si="123"/>
        <v>1.25</v>
      </c>
      <c r="CM19" s="1138">
        <f t="shared" si="124"/>
        <v>1.25</v>
      </c>
      <c r="CN19" s="1151">
        <f t="shared" si="125"/>
        <v>4.2</v>
      </c>
      <c r="CO19" s="1138">
        <f t="shared" si="126"/>
        <v>0.72646758445260307</v>
      </c>
      <c r="CP19" s="1138">
        <f t="shared" si="127"/>
        <v>0.7252321832262294</v>
      </c>
      <c r="CQ19" s="1152">
        <f t="shared" si="128"/>
        <v>0.72646758445260307</v>
      </c>
      <c r="CR19" s="1153">
        <f t="shared" si="129"/>
        <v>0.7252321832262294</v>
      </c>
      <c r="CS19" s="1137">
        <f t="shared" si="130"/>
        <v>0.79600000000000004</v>
      </c>
      <c r="CT19" s="956">
        <f t="shared" si="131"/>
        <v>16.945</v>
      </c>
      <c r="CU19" s="956">
        <f t="shared" si="132"/>
        <v>-10.79</v>
      </c>
      <c r="CV19" s="956">
        <f t="shared" si="133"/>
        <v>0</v>
      </c>
      <c r="CW19" s="956">
        <f t="shared" si="134"/>
        <v>9.3587152000000007</v>
      </c>
      <c r="CX19" s="956">
        <f t="shared" si="135"/>
        <v>-10.275524000000001</v>
      </c>
      <c r="CY19" s="1154">
        <f t="shared" si="136"/>
        <v>1.1125166912643194</v>
      </c>
      <c r="CZ19" s="1155">
        <f t="shared" si="137"/>
        <v>0.95916249144009047</v>
      </c>
      <c r="DA19" s="1137" t="e">
        <f>MIN(VLOOKUP(AP19,'CROP FACTORS'!$C$5:$N$130,2,FALSE),VLOOKUP(AQ19,'CROP FACTORS'!$C$5:$N$130,2,FALSE))</f>
        <v>#N/A</v>
      </c>
      <c r="DB19" s="956" t="e">
        <f>MIN(VLOOKUP(AP19,'CROP FACTORS'!$C$5:$N$130,4,FALSE),VLOOKUP(AQ19,'CROP FACTORS'!$C$5:$N$130,4,FALSE))</f>
        <v>#N/A</v>
      </c>
      <c r="DC19" s="1156" t="e">
        <f t="shared" si="138"/>
        <v>#N/A</v>
      </c>
      <c r="DD19" s="1138">
        <f t="shared" si="139"/>
        <v>1.22</v>
      </c>
      <c r="DE19" s="1157" t="str">
        <f t="shared" si="140"/>
        <v>.</v>
      </c>
      <c r="DF19" s="1138" t="e">
        <f t="shared" si="141"/>
        <v>#N/A</v>
      </c>
      <c r="DG19" s="1158" t="e">
        <f t="shared" si="142"/>
        <v>#N/A</v>
      </c>
      <c r="DH19" s="1159" t="str">
        <f t="shared" si="143"/>
        <v>.</v>
      </c>
      <c r="DI19" s="1153" t="e">
        <f t="shared" si="144"/>
        <v>#VALUE!</v>
      </c>
      <c r="DJ19" s="1133">
        <f t="shared" si="145"/>
        <v>5.8</v>
      </c>
      <c r="DK19" s="1160">
        <f t="shared" si="146"/>
        <v>2.7</v>
      </c>
      <c r="DL19" s="1134">
        <f t="shared" si="147"/>
        <v>2.1</v>
      </c>
      <c r="DM19" s="1161">
        <f t="shared" si="148"/>
        <v>42.718272925331739</v>
      </c>
      <c r="DN19" s="1144">
        <f t="shared" si="149"/>
        <v>48.546000000000006</v>
      </c>
      <c r="DO19" s="1162">
        <f t="shared" si="150"/>
        <v>0.14257038857578974</v>
      </c>
      <c r="DP19" s="1163">
        <f t="shared" si="151"/>
        <v>0.14257038857578974</v>
      </c>
      <c r="DQ19" s="1133">
        <f t="shared" si="152"/>
        <v>1.0745</v>
      </c>
      <c r="DR19" s="1134">
        <f t="shared" si="153"/>
        <v>-1.3429999999999999E-2</v>
      </c>
      <c r="DS19" s="1164">
        <f t="shared" si="154"/>
        <v>34.017000000000003</v>
      </c>
      <c r="DT19" s="1146">
        <f t="shared" si="155"/>
        <v>0.39404451413810981</v>
      </c>
      <c r="DU19" s="1165">
        <f t="shared" si="156"/>
        <v>0.9141790944583208</v>
      </c>
      <c r="DV19" s="1166">
        <f t="shared" si="157"/>
        <v>1</v>
      </c>
      <c r="DW19" s="1166">
        <f t="shared" si="158"/>
        <v>0.99993124956226054</v>
      </c>
      <c r="DX19" s="1166"/>
      <c r="DY19" s="1166">
        <f t="shared" si="159"/>
        <v>0.99989918508216535</v>
      </c>
      <c r="DZ19" s="1166">
        <f t="shared" si="160"/>
        <v>0.72646758445260307</v>
      </c>
      <c r="EA19" s="1138"/>
      <c r="EB19" s="1166">
        <f t="shared" si="161"/>
        <v>0.95916249144009047</v>
      </c>
      <c r="EC19" s="1166"/>
      <c r="ED19" s="1138"/>
      <c r="EE19" s="1166">
        <f t="shared" si="162"/>
        <v>0.14257038857578974</v>
      </c>
      <c r="EF19" s="1140">
        <f t="shared" si="163"/>
        <v>0.39404451413810981</v>
      </c>
      <c r="EG19" s="1159">
        <f t="shared" si="164"/>
        <v>6.1362545077093396</v>
      </c>
      <c r="EH19" s="1167">
        <f t="shared" si="165"/>
        <v>8</v>
      </c>
      <c r="EI19" s="1312">
        <f t="shared" si="166"/>
        <v>0.76703181346366744</v>
      </c>
      <c r="EJ19" s="1168">
        <f t="shared" si="167"/>
        <v>1.9591624914400905</v>
      </c>
      <c r="EK19" s="1169">
        <f t="shared" si="168"/>
        <v>2</v>
      </c>
      <c r="EL19" s="1170">
        <f t="shared" si="169"/>
        <v>0.97958124572004524</v>
      </c>
      <c r="EM19" s="1159">
        <f t="shared" si="170"/>
        <v>0.99989918508216535</v>
      </c>
      <c r="EN19" s="1167">
        <f t="shared" si="171"/>
        <v>1</v>
      </c>
      <c r="EO19" s="1171">
        <f t="shared" si="172"/>
        <v>0.99989918508216535</v>
      </c>
      <c r="EP19" s="1168">
        <f t="shared" si="173"/>
        <v>2.0566807325963712</v>
      </c>
      <c r="EQ19" s="1169">
        <f t="shared" si="174"/>
        <v>3</v>
      </c>
      <c r="ER19" s="1146">
        <f t="shared" si="175"/>
        <v>0.68556024419879036</v>
      </c>
      <c r="ES19" s="1159">
        <f t="shared" si="176"/>
        <v>1.1205120985907129</v>
      </c>
      <c r="ET19" s="1167">
        <f t="shared" si="177"/>
        <v>2</v>
      </c>
      <c r="EU19" s="1155">
        <f t="shared" si="178"/>
        <v>0.56025604929535644</v>
      </c>
      <c r="EV19" s="1159">
        <f t="shared" si="179"/>
        <v>2.1204112836728783</v>
      </c>
      <c r="EW19" s="1167">
        <f t="shared" si="180"/>
        <v>3</v>
      </c>
      <c r="EX19" s="1155">
        <f t="shared" si="181"/>
        <v>0.70680376122429278</v>
      </c>
    </row>
    <row r="20" spans="2:154" s="1200" customFormat="1">
      <c r="B20" s="1218" t="s">
        <v>1263</v>
      </c>
      <c r="C20" s="1219">
        <v>1</v>
      </c>
      <c r="D20" s="1226" t="s">
        <v>1267</v>
      </c>
      <c r="E20" s="1226" t="s">
        <v>1268</v>
      </c>
      <c r="F20" s="1227" t="s">
        <v>1266</v>
      </c>
      <c r="P20" s="963"/>
      <c r="V20" s="1278">
        <v>15.1</v>
      </c>
      <c r="W20" s="1262">
        <v>1.0550000000000002</v>
      </c>
      <c r="X20" s="1283">
        <v>92.088888888888903</v>
      </c>
      <c r="Y20" s="1272">
        <v>482.18739115290839</v>
      </c>
      <c r="Z20" s="1255" t="s">
        <v>1058</v>
      </c>
      <c r="AA20" s="1277">
        <v>4.3936000000000002</v>
      </c>
      <c r="AB20" s="1261">
        <v>3</v>
      </c>
      <c r="AC20" s="1282">
        <v>1.6595216342211916</v>
      </c>
      <c r="AD20" s="1271" t="s">
        <v>1058</v>
      </c>
      <c r="AE20" s="1271" t="s">
        <v>1058</v>
      </c>
      <c r="AF20" s="1254">
        <v>41.62371854134566</v>
      </c>
      <c r="AG20" s="1282">
        <v>28.151999999999997</v>
      </c>
      <c r="AH20" s="1267">
        <v>4</v>
      </c>
      <c r="AI20" s="1267">
        <v>2</v>
      </c>
      <c r="AJ20" s="1267">
        <v>2</v>
      </c>
      <c r="AK20" s="1267">
        <v>1</v>
      </c>
      <c r="AL20" s="1267">
        <v>2</v>
      </c>
      <c r="AM20" s="1267">
        <v>2</v>
      </c>
      <c r="AN20" s="1267">
        <v>3</v>
      </c>
      <c r="AO20" s="1267">
        <v>2</v>
      </c>
      <c r="AP20" s="1267">
        <v>109</v>
      </c>
      <c r="AQ20" s="1267"/>
      <c r="AR20" s="1267">
        <v>2</v>
      </c>
      <c r="AS20" s="1267">
        <v>5</v>
      </c>
      <c r="AT20" s="1267">
        <v>2</v>
      </c>
      <c r="AU20" s="1267"/>
      <c r="AV20" s="1133">
        <f t="shared" si="84"/>
        <v>3.81</v>
      </c>
      <c r="AW20" s="1134">
        <f t="shared" si="85"/>
        <v>1.25</v>
      </c>
      <c r="AX20" s="1134">
        <f t="shared" si="86"/>
        <v>0.15</v>
      </c>
      <c r="AY20" s="1135">
        <f t="shared" si="87"/>
        <v>1.0550000000000002</v>
      </c>
      <c r="AZ20" s="1136">
        <f t="shared" si="88"/>
        <v>0.8657720428871738</v>
      </c>
      <c r="BA20" s="1137">
        <f t="shared" si="89"/>
        <v>0.89993809999999996</v>
      </c>
      <c r="BB20" s="956">
        <f t="shared" si="90"/>
        <v>1.06</v>
      </c>
      <c r="BC20" s="1138">
        <f t="shared" si="91"/>
        <v>1</v>
      </c>
      <c r="BD20" s="1139">
        <f t="shared" si="92"/>
        <v>92.088888888888903</v>
      </c>
      <c r="BE20" s="1138">
        <f t="shared" si="93"/>
        <v>0.39314469985336264</v>
      </c>
      <c r="BF20" s="1140">
        <f t="shared" si="94"/>
        <v>1</v>
      </c>
      <c r="BG20" s="1137">
        <f t="shared" si="95"/>
        <v>0.03</v>
      </c>
      <c r="BH20" s="956">
        <f t="shared" si="96"/>
        <v>1.35</v>
      </c>
      <c r="BI20" s="956">
        <f t="shared" si="97"/>
        <v>1.08</v>
      </c>
      <c r="BJ20" s="956">
        <f t="shared" si="98"/>
        <v>0</v>
      </c>
      <c r="BK20" s="956">
        <f t="shared" si="99"/>
        <v>1.08</v>
      </c>
      <c r="BL20" s="956">
        <f t="shared" si="100"/>
        <v>0</v>
      </c>
      <c r="BM20" s="1141">
        <f t="shared" si="101"/>
        <v>482.18739115290839</v>
      </c>
      <c r="BN20" s="1142">
        <f t="shared" si="102"/>
        <v>0.99999997178662714</v>
      </c>
      <c r="BO20" s="1143">
        <f t="shared" si="103"/>
        <v>0.43227500000000002</v>
      </c>
      <c r="BP20" s="1144">
        <f t="shared" si="104"/>
        <v>1</v>
      </c>
      <c r="BQ20" s="1134">
        <f t="shared" si="105"/>
        <v>0.9</v>
      </c>
      <c r="BR20" s="1145" t="str">
        <f t="shared" si="106"/>
        <v>.</v>
      </c>
      <c r="BS20" s="1146" t="e">
        <f t="shared" si="107"/>
        <v>#VALUE!</v>
      </c>
      <c r="BT20" s="1147">
        <f>VLOOKUP(AP20,'CROP FACTORS'!$C$5:$N$130,7,FALSE)</f>
        <v>5.5</v>
      </c>
      <c r="BU20" s="1148">
        <f>VLOOKUP(AP20,'CROP FACTORS'!$C$5:$P$130,8,FALSE)</f>
        <v>1</v>
      </c>
      <c r="BV20" s="1149">
        <f t="shared" si="108"/>
        <v>4.3936000000000002</v>
      </c>
      <c r="BW20" s="1150">
        <f t="shared" si="109"/>
        <v>0.54223245810320009</v>
      </c>
      <c r="BX20" s="1137">
        <f>VLOOKUP(AP20,'CROP FACTORS'!$C$5:$N$130,10,FALSE)</f>
        <v>13</v>
      </c>
      <c r="BY20" s="1138">
        <f t="shared" si="110"/>
        <v>88.484687800000074</v>
      </c>
      <c r="BZ20" s="956">
        <f t="shared" si="111"/>
        <v>0.01</v>
      </c>
      <c r="CA20" s="956">
        <f t="shared" si="112"/>
        <v>0.99</v>
      </c>
      <c r="CB20" s="1148">
        <f t="shared" si="113"/>
        <v>89.408866121727172</v>
      </c>
      <c r="CC20" s="1148">
        <f t="shared" si="114"/>
        <v>88.475839331220072</v>
      </c>
      <c r="CD20" s="956">
        <f t="shared" si="115"/>
        <v>140</v>
      </c>
      <c r="CE20" s="956">
        <f t="shared" si="116"/>
        <v>90000</v>
      </c>
      <c r="CF20" s="956">
        <f t="shared" si="117"/>
        <v>1</v>
      </c>
      <c r="CG20" s="956">
        <f t="shared" si="118"/>
        <v>0.02</v>
      </c>
      <c r="CH20" s="956">
        <f t="shared" si="119"/>
        <v>90949.5</v>
      </c>
      <c r="CI20" s="956">
        <f t="shared" si="120"/>
        <v>91800</v>
      </c>
      <c r="CJ20" s="1138">
        <f t="shared" si="121"/>
        <v>1.25</v>
      </c>
      <c r="CK20" s="1138">
        <f t="shared" si="122"/>
        <v>2.1</v>
      </c>
      <c r="CL20" s="1138">
        <f t="shared" si="123"/>
        <v>1.25</v>
      </c>
      <c r="CM20" s="1138">
        <f t="shared" si="124"/>
        <v>1.25</v>
      </c>
      <c r="CN20" s="1151">
        <f t="shared" si="125"/>
        <v>3</v>
      </c>
      <c r="CO20" s="1138">
        <f t="shared" si="126"/>
        <v>0.38968815210231561</v>
      </c>
      <c r="CP20" s="1138">
        <f t="shared" si="127"/>
        <v>0.39218591432768157</v>
      </c>
      <c r="CQ20" s="1152">
        <f t="shared" si="128"/>
        <v>0.38968815210231561</v>
      </c>
      <c r="CR20" s="1153">
        <f t="shared" si="129"/>
        <v>0.39218591432768157</v>
      </c>
      <c r="CS20" s="1137">
        <f t="shared" si="130"/>
        <v>0.79400000000000004</v>
      </c>
      <c r="CT20" s="956">
        <f t="shared" si="131"/>
        <v>88.025000000000006</v>
      </c>
      <c r="CU20" s="956">
        <f t="shared" si="132"/>
        <v>-12.061</v>
      </c>
      <c r="CV20" s="956">
        <f t="shared" si="133"/>
        <v>0</v>
      </c>
      <c r="CW20" s="956">
        <f t="shared" si="134"/>
        <v>9.3587152000000007</v>
      </c>
      <c r="CX20" s="956">
        <f t="shared" si="135"/>
        <v>-10.275524000000001</v>
      </c>
      <c r="CY20" s="1154">
        <f t="shared" si="136"/>
        <v>1.6595216342211916</v>
      </c>
      <c r="CZ20" s="1155">
        <f t="shared" si="137"/>
        <v>0.34106798624731305</v>
      </c>
      <c r="DA20" s="1137" t="e">
        <f>MIN(VLOOKUP(AP20,'CROP FACTORS'!$C$5:$N$130,2,FALSE),VLOOKUP(AQ20,'CROP FACTORS'!$C$5:$N$130,2,FALSE))</f>
        <v>#N/A</v>
      </c>
      <c r="DB20" s="956" t="e">
        <f>MIN(VLOOKUP(AP20,'CROP FACTORS'!$C$5:$N$130,4,FALSE),VLOOKUP(AQ20,'CROP FACTORS'!$C$5:$N$130,4,FALSE))</f>
        <v>#N/A</v>
      </c>
      <c r="DC20" s="1156" t="e">
        <f t="shared" si="138"/>
        <v>#N/A</v>
      </c>
      <c r="DD20" s="1138">
        <f t="shared" si="139"/>
        <v>1.07</v>
      </c>
      <c r="DE20" s="1157" t="str">
        <f t="shared" si="140"/>
        <v>.</v>
      </c>
      <c r="DF20" s="1138" t="e">
        <f t="shared" si="141"/>
        <v>#N/A</v>
      </c>
      <c r="DG20" s="1158" t="e">
        <f t="shared" si="142"/>
        <v>#N/A</v>
      </c>
      <c r="DH20" s="1159" t="str">
        <f t="shared" si="143"/>
        <v>.</v>
      </c>
      <c r="DI20" s="1153" t="e">
        <f t="shared" si="144"/>
        <v>#VALUE!</v>
      </c>
      <c r="DJ20" s="1133">
        <f t="shared" si="145"/>
        <v>5.8</v>
      </c>
      <c r="DK20" s="1160">
        <f t="shared" si="146"/>
        <v>2.9</v>
      </c>
      <c r="DL20" s="1134">
        <f t="shared" si="147"/>
        <v>2.1</v>
      </c>
      <c r="DM20" s="1161">
        <f t="shared" si="148"/>
        <v>41.62371854134566</v>
      </c>
      <c r="DN20" s="1144">
        <f t="shared" si="149"/>
        <v>52.142000000000003</v>
      </c>
      <c r="DO20" s="1162">
        <f t="shared" si="150"/>
        <v>0.15480596620135906</v>
      </c>
      <c r="DP20" s="1163">
        <f t="shared" si="151"/>
        <v>0.15480596620135906</v>
      </c>
      <c r="DQ20" s="1133">
        <f t="shared" si="152"/>
        <v>1.0541</v>
      </c>
      <c r="DR20" s="1134">
        <f t="shared" si="153"/>
        <v>-9.8099999999999993E-3</v>
      </c>
      <c r="DS20" s="1164">
        <f t="shared" si="154"/>
        <v>28.151999999999997</v>
      </c>
      <c r="DT20" s="1146">
        <f t="shared" si="155"/>
        <v>0.25437215082363157</v>
      </c>
      <c r="DU20" s="1165">
        <f t="shared" si="156"/>
        <v>0.8657720428871738</v>
      </c>
      <c r="DV20" s="1166">
        <f t="shared" si="157"/>
        <v>1</v>
      </c>
      <c r="DW20" s="1166">
        <f t="shared" si="158"/>
        <v>0.99999997178662714</v>
      </c>
      <c r="DX20" s="1166"/>
      <c r="DY20" s="1166">
        <f t="shared" si="159"/>
        <v>0.54223245810320009</v>
      </c>
      <c r="DZ20" s="1166">
        <f t="shared" si="160"/>
        <v>0.38968815210231561</v>
      </c>
      <c r="EA20" s="1138"/>
      <c r="EB20" s="1166">
        <f t="shared" si="161"/>
        <v>0.34106798624731305</v>
      </c>
      <c r="EC20" s="1166"/>
      <c r="ED20" s="1138"/>
      <c r="EE20" s="1166">
        <f t="shared" si="162"/>
        <v>0.15480596620135906</v>
      </c>
      <c r="EF20" s="1140">
        <f t="shared" si="163"/>
        <v>0.25437215082363157</v>
      </c>
      <c r="EG20" s="1159">
        <f t="shared" si="164"/>
        <v>4.547938728151621</v>
      </c>
      <c r="EH20" s="1167">
        <f t="shared" si="165"/>
        <v>8</v>
      </c>
      <c r="EI20" s="1150">
        <f t="shared" si="166"/>
        <v>0.56849234101895263</v>
      </c>
      <c r="EJ20" s="1168">
        <f t="shared" si="167"/>
        <v>1.3410679862473129</v>
      </c>
      <c r="EK20" s="1169">
        <f t="shared" si="168"/>
        <v>2</v>
      </c>
      <c r="EL20" s="1170">
        <f t="shared" si="169"/>
        <v>0.67053399312365647</v>
      </c>
      <c r="EM20" s="1159">
        <f t="shared" si="170"/>
        <v>0.54223245810320009</v>
      </c>
      <c r="EN20" s="1167">
        <f t="shared" si="171"/>
        <v>1</v>
      </c>
      <c r="EO20" s="1171">
        <f t="shared" si="172"/>
        <v>0.54223245810320009</v>
      </c>
      <c r="EP20" s="1168">
        <f t="shared" si="173"/>
        <v>2.0205779808751601</v>
      </c>
      <c r="EQ20" s="1169">
        <f t="shared" si="174"/>
        <v>3</v>
      </c>
      <c r="ER20" s="1146">
        <f t="shared" si="175"/>
        <v>0.67352599362505339</v>
      </c>
      <c r="ES20" s="1159">
        <f t="shared" si="176"/>
        <v>0.64406030292594718</v>
      </c>
      <c r="ET20" s="1167">
        <f t="shared" si="177"/>
        <v>2</v>
      </c>
      <c r="EU20" s="1155">
        <f t="shared" si="178"/>
        <v>0.32203015146297359</v>
      </c>
      <c r="EV20" s="1159">
        <f t="shared" si="179"/>
        <v>1.1862927610291472</v>
      </c>
      <c r="EW20" s="1167">
        <f t="shared" si="180"/>
        <v>3</v>
      </c>
      <c r="EX20" s="1155">
        <f t="shared" si="181"/>
        <v>0.39543092034304905</v>
      </c>
    </row>
    <row r="21" spans="2:154" s="1200" customFormat="1">
      <c r="B21" s="1218" t="s">
        <v>1263</v>
      </c>
      <c r="C21" s="1219">
        <v>2</v>
      </c>
      <c r="D21" s="1226" t="s">
        <v>1267</v>
      </c>
      <c r="E21" s="1226" t="s">
        <v>1268</v>
      </c>
      <c r="F21" s="1227" t="s">
        <v>1266</v>
      </c>
      <c r="P21" s="963"/>
      <c r="V21" s="1278">
        <v>13.8</v>
      </c>
      <c r="W21" s="1262">
        <v>1.03</v>
      </c>
      <c r="X21" s="1283">
        <v>92.199999999999989</v>
      </c>
      <c r="Y21" s="1272">
        <v>331.16054158607329</v>
      </c>
      <c r="Z21" s="1255" t="s">
        <v>1058</v>
      </c>
      <c r="AA21" s="1277">
        <v>4.2092000000000001</v>
      </c>
      <c r="AB21" s="1261">
        <v>3</v>
      </c>
      <c r="AC21" s="1282">
        <v>1.6236793403143817</v>
      </c>
      <c r="AD21" s="1271" t="s">
        <v>1058</v>
      </c>
      <c r="AE21" s="1271" t="s">
        <v>1058</v>
      </c>
      <c r="AF21" s="1254">
        <v>40.213753632908542</v>
      </c>
      <c r="AG21" s="1282">
        <v>19.940999999999999</v>
      </c>
      <c r="AH21" s="1267">
        <v>4</v>
      </c>
      <c r="AI21" s="1267">
        <v>2</v>
      </c>
      <c r="AJ21" s="1267">
        <v>2</v>
      </c>
      <c r="AK21" s="1267">
        <v>1</v>
      </c>
      <c r="AL21" s="1267">
        <v>2</v>
      </c>
      <c r="AM21" s="1267">
        <v>2</v>
      </c>
      <c r="AN21" s="1267">
        <v>3</v>
      </c>
      <c r="AO21" s="1267">
        <v>2</v>
      </c>
      <c r="AP21" s="1267">
        <v>109</v>
      </c>
      <c r="AQ21" s="1267"/>
      <c r="AR21" s="1267">
        <v>2</v>
      </c>
      <c r="AS21" s="1267">
        <v>5</v>
      </c>
      <c r="AT21" s="1267">
        <v>2</v>
      </c>
      <c r="AU21" s="1267"/>
      <c r="AV21" s="1133">
        <f t="shared" si="84"/>
        <v>3.81</v>
      </c>
      <c r="AW21" s="1134">
        <f t="shared" si="85"/>
        <v>1.25</v>
      </c>
      <c r="AX21" s="1134">
        <f t="shared" si="86"/>
        <v>0.15</v>
      </c>
      <c r="AY21" s="1135">
        <f t="shared" si="87"/>
        <v>1.03</v>
      </c>
      <c r="AZ21" s="1136">
        <f t="shared" si="88"/>
        <v>0.84904882353564937</v>
      </c>
      <c r="BA21" s="1137">
        <f t="shared" si="89"/>
        <v>0.89993809999999996</v>
      </c>
      <c r="BB21" s="956">
        <f t="shared" si="90"/>
        <v>1.06</v>
      </c>
      <c r="BC21" s="1138">
        <f t="shared" si="91"/>
        <v>1</v>
      </c>
      <c r="BD21" s="1139">
        <f t="shared" si="92"/>
        <v>92.199999999999989</v>
      </c>
      <c r="BE21" s="1138">
        <f t="shared" si="93"/>
        <v>0.3901954106091049</v>
      </c>
      <c r="BF21" s="1140">
        <f t="shared" si="94"/>
        <v>1</v>
      </c>
      <c r="BG21" s="1137">
        <f t="shared" si="95"/>
        <v>0.03</v>
      </c>
      <c r="BH21" s="956">
        <f t="shared" si="96"/>
        <v>1.35</v>
      </c>
      <c r="BI21" s="956">
        <f t="shared" si="97"/>
        <v>1.08</v>
      </c>
      <c r="BJ21" s="956">
        <f t="shared" si="98"/>
        <v>0</v>
      </c>
      <c r="BK21" s="956">
        <f t="shared" si="99"/>
        <v>1.08</v>
      </c>
      <c r="BL21" s="956">
        <f t="shared" si="100"/>
        <v>0</v>
      </c>
      <c r="BM21" s="1141">
        <f t="shared" si="101"/>
        <v>331.16054158607329</v>
      </c>
      <c r="BN21" s="1142">
        <f t="shared" si="102"/>
        <v>0.99997913789478976</v>
      </c>
      <c r="BO21" s="1143">
        <f t="shared" si="103"/>
        <v>0.43227500000000002</v>
      </c>
      <c r="BP21" s="1144">
        <f t="shared" si="104"/>
        <v>1</v>
      </c>
      <c r="BQ21" s="1134">
        <f t="shared" si="105"/>
        <v>0.9</v>
      </c>
      <c r="BR21" s="1145" t="str">
        <f t="shared" si="106"/>
        <v>.</v>
      </c>
      <c r="BS21" s="1146" t="e">
        <f t="shared" si="107"/>
        <v>#VALUE!</v>
      </c>
      <c r="BT21" s="1147">
        <f>VLOOKUP(AP21,'CROP FACTORS'!$C$5:$N$130,7,FALSE)</f>
        <v>5.5</v>
      </c>
      <c r="BU21" s="1148">
        <f>VLOOKUP(AP21,'CROP FACTORS'!$C$5:$P$130,8,FALSE)</f>
        <v>1</v>
      </c>
      <c r="BV21" s="1149">
        <f t="shared" si="108"/>
        <v>4.2092000000000001</v>
      </c>
      <c r="BW21" s="1150">
        <f t="shared" si="109"/>
        <v>0.43470731214471731</v>
      </c>
      <c r="BX21" s="1137">
        <f>VLOOKUP(AP21,'CROP FACTORS'!$C$5:$N$130,10,FALSE)</f>
        <v>13</v>
      </c>
      <c r="BY21" s="1138">
        <f t="shared" si="110"/>
        <v>88.484687800000074</v>
      </c>
      <c r="BZ21" s="956">
        <f t="shared" si="111"/>
        <v>0.01</v>
      </c>
      <c r="CA21" s="956">
        <f t="shared" si="112"/>
        <v>0.99</v>
      </c>
      <c r="CB21" s="1148">
        <f t="shared" si="113"/>
        <v>89.386966161496673</v>
      </c>
      <c r="CC21" s="1148">
        <f t="shared" si="114"/>
        <v>88.475839331220072</v>
      </c>
      <c r="CD21" s="956">
        <f t="shared" si="115"/>
        <v>140</v>
      </c>
      <c r="CE21" s="956">
        <f t="shared" si="116"/>
        <v>90000</v>
      </c>
      <c r="CF21" s="956">
        <f t="shared" si="117"/>
        <v>1</v>
      </c>
      <c r="CG21" s="956">
        <f t="shared" si="118"/>
        <v>0.02</v>
      </c>
      <c r="CH21" s="956">
        <f t="shared" si="119"/>
        <v>90927</v>
      </c>
      <c r="CI21" s="956">
        <f t="shared" si="120"/>
        <v>91800</v>
      </c>
      <c r="CJ21" s="1138">
        <f t="shared" si="121"/>
        <v>1.25</v>
      </c>
      <c r="CK21" s="1138">
        <f t="shared" si="122"/>
        <v>2.1</v>
      </c>
      <c r="CL21" s="1138">
        <f t="shared" si="123"/>
        <v>1.25</v>
      </c>
      <c r="CM21" s="1138">
        <f t="shared" si="124"/>
        <v>1.25</v>
      </c>
      <c r="CN21" s="1151">
        <f t="shared" si="125"/>
        <v>3</v>
      </c>
      <c r="CO21" s="1138">
        <f t="shared" si="126"/>
        <v>0.38974641477170718</v>
      </c>
      <c r="CP21" s="1138">
        <f t="shared" si="127"/>
        <v>0.39218591432768157</v>
      </c>
      <c r="CQ21" s="1152">
        <f t="shared" si="128"/>
        <v>0.38974641477170718</v>
      </c>
      <c r="CR21" s="1153">
        <f t="shared" si="129"/>
        <v>0.39218591432768157</v>
      </c>
      <c r="CS21" s="1137">
        <f t="shared" si="130"/>
        <v>0.79400000000000004</v>
      </c>
      <c r="CT21" s="956">
        <f t="shared" si="131"/>
        <v>88.025000000000006</v>
      </c>
      <c r="CU21" s="956">
        <f t="shared" si="132"/>
        <v>-12.061</v>
      </c>
      <c r="CV21" s="956">
        <f t="shared" si="133"/>
        <v>0</v>
      </c>
      <c r="CW21" s="956">
        <f t="shared" si="134"/>
        <v>9.3587152000000007</v>
      </c>
      <c r="CX21" s="956">
        <f t="shared" si="135"/>
        <v>-10.275524000000001</v>
      </c>
      <c r="CY21" s="1154">
        <f t="shared" si="136"/>
        <v>1.6236793403143817</v>
      </c>
      <c r="CZ21" s="1155">
        <f t="shared" si="137"/>
        <v>0.37843547822946366</v>
      </c>
      <c r="DA21" s="1137" t="e">
        <f>MIN(VLOOKUP(AP21,'CROP FACTORS'!$C$5:$N$130,2,FALSE),VLOOKUP(AQ21,'CROP FACTORS'!$C$5:$N$130,2,FALSE))</f>
        <v>#N/A</v>
      </c>
      <c r="DB21" s="956" t="e">
        <f>MIN(VLOOKUP(AP21,'CROP FACTORS'!$C$5:$N$130,4,FALSE),VLOOKUP(AQ21,'CROP FACTORS'!$C$5:$N$130,4,FALSE))</f>
        <v>#N/A</v>
      </c>
      <c r="DC21" s="1156" t="e">
        <f t="shared" si="138"/>
        <v>#N/A</v>
      </c>
      <c r="DD21" s="1138">
        <f t="shared" si="139"/>
        <v>1.07</v>
      </c>
      <c r="DE21" s="1157" t="str">
        <f t="shared" si="140"/>
        <v>.</v>
      </c>
      <c r="DF21" s="1138" t="e">
        <f t="shared" si="141"/>
        <v>#N/A</v>
      </c>
      <c r="DG21" s="1158" t="e">
        <f t="shared" si="142"/>
        <v>#N/A</v>
      </c>
      <c r="DH21" s="1159" t="str">
        <f t="shared" si="143"/>
        <v>.</v>
      </c>
      <c r="DI21" s="1153" t="e">
        <f t="shared" si="144"/>
        <v>#VALUE!</v>
      </c>
      <c r="DJ21" s="1133">
        <f t="shared" si="145"/>
        <v>5.8</v>
      </c>
      <c r="DK21" s="1160">
        <f t="shared" si="146"/>
        <v>2.9</v>
      </c>
      <c r="DL21" s="1134">
        <f t="shared" si="147"/>
        <v>2.1</v>
      </c>
      <c r="DM21" s="1161">
        <f t="shared" si="148"/>
        <v>40.213753632908542</v>
      </c>
      <c r="DN21" s="1144">
        <f t="shared" si="149"/>
        <v>52.142000000000003</v>
      </c>
      <c r="DO21" s="1162">
        <f t="shared" si="150"/>
        <v>0.14541296201439888</v>
      </c>
      <c r="DP21" s="1163">
        <f t="shared" si="151"/>
        <v>0.14541296201439888</v>
      </c>
      <c r="DQ21" s="1133">
        <f t="shared" si="152"/>
        <v>1.0541</v>
      </c>
      <c r="DR21" s="1134">
        <f t="shared" si="153"/>
        <v>-9.8099999999999993E-3</v>
      </c>
      <c r="DS21" s="1164">
        <f t="shared" si="154"/>
        <v>19.940999999999999</v>
      </c>
      <c r="DT21" s="1146">
        <f t="shared" si="155"/>
        <v>0.18728862612341765</v>
      </c>
      <c r="DU21" s="1165">
        <f t="shared" si="156"/>
        <v>0.84904882353564937</v>
      </c>
      <c r="DV21" s="1166">
        <f t="shared" si="157"/>
        <v>1</v>
      </c>
      <c r="DW21" s="1166">
        <f t="shared" si="158"/>
        <v>0.99997913789478976</v>
      </c>
      <c r="DX21" s="1166"/>
      <c r="DY21" s="1166">
        <f t="shared" si="159"/>
        <v>0.43470731214471731</v>
      </c>
      <c r="DZ21" s="1166">
        <f t="shared" si="160"/>
        <v>0.38974641477170718</v>
      </c>
      <c r="EA21" s="1138"/>
      <c r="EB21" s="1166">
        <f t="shared" si="161"/>
        <v>0.37843547822946366</v>
      </c>
      <c r="EC21" s="1166"/>
      <c r="ED21" s="1138"/>
      <c r="EE21" s="1166">
        <f t="shared" si="162"/>
        <v>0.14541296201439888</v>
      </c>
      <c r="EF21" s="1140">
        <f t="shared" si="163"/>
        <v>0.18728862612341765</v>
      </c>
      <c r="EG21" s="1159">
        <f t="shared" si="164"/>
        <v>4.3846187547141442</v>
      </c>
      <c r="EH21" s="1167">
        <f t="shared" si="165"/>
        <v>8</v>
      </c>
      <c r="EI21" s="1150">
        <f t="shared" si="166"/>
        <v>0.54807734433926802</v>
      </c>
      <c r="EJ21" s="1168">
        <f t="shared" si="167"/>
        <v>1.3784354782294637</v>
      </c>
      <c r="EK21" s="1169">
        <f t="shared" si="168"/>
        <v>2</v>
      </c>
      <c r="EL21" s="1170">
        <f t="shared" si="169"/>
        <v>0.68921773911473183</v>
      </c>
      <c r="EM21" s="1159">
        <f t="shared" si="170"/>
        <v>0.43470731214471731</v>
      </c>
      <c r="EN21" s="1167">
        <f t="shared" si="171"/>
        <v>1</v>
      </c>
      <c r="EO21" s="1171">
        <f t="shared" si="172"/>
        <v>0.43470731214471731</v>
      </c>
      <c r="EP21" s="1168">
        <f t="shared" si="173"/>
        <v>1.9944409234448381</v>
      </c>
      <c r="EQ21" s="1169">
        <f t="shared" si="174"/>
        <v>3</v>
      </c>
      <c r="ER21" s="1146">
        <f t="shared" si="175"/>
        <v>0.66481364114827934</v>
      </c>
      <c r="ES21" s="1159">
        <f t="shared" si="176"/>
        <v>0.57703504089512481</v>
      </c>
      <c r="ET21" s="1167">
        <f t="shared" si="177"/>
        <v>2</v>
      </c>
      <c r="EU21" s="1155">
        <f t="shared" si="178"/>
        <v>0.2885175204475624</v>
      </c>
      <c r="EV21" s="1159">
        <f t="shared" si="179"/>
        <v>1.0117423530398422</v>
      </c>
      <c r="EW21" s="1167">
        <f t="shared" si="180"/>
        <v>3</v>
      </c>
      <c r="EX21" s="1155">
        <f t="shared" si="181"/>
        <v>0.33724745101328074</v>
      </c>
    </row>
    <row r="22" spans="2:154" s="1200" customFormat="1">
      <c r="B22" s="1218" t="s">
        <v>1263</v>
      </c>
      <c r="C22" s="1219">
        <v>3</v>
      </c>
      <c r="D22" s="1226" t="s">
        <v>1267</v>
      </c>
      <c r="E22" s="1226" t="s">
        <v>1268</v>
      </c>
      <c r="F22" s="1227" t="s">
        <v>1266</v>
      </c>
      <c r="P22" s="963"/>
      <c r="V22" s="1278">
        <v>11.4</v>
      </c>
      <c r="W22" s="1262">
        <v>0.96500000000000008</v>
      </c>
      <c r="X22" s="1283">
        <v>90.74</v>
      </c>
      <c r="Y22" s="1272">
        <v>407.15789473684202</v>
      </c>
      <c r="Z22" s="1255" t="s">
        <v>1058</v>
      </c>
      <c r="AA22" s="1277">
        <v>4.3014000000000001</v>
      </c>
      <c r="AB22" s="1261">
        <v>2.8</v>
      </c>
      <c r="AC22" s="1282">
        <v>1.5539859910511395</v>
      </c>
      <c r="AD22" s="1271" t="s">
        <v>1058</v>
      </c>
      <c r="AE22" s="1271" t="s">
        <v>1058</v>
      </c>
      <c r="AF22" s="1254">
        <v>40.004715972152155</v>
      </c>
      <c r="AG22" s="1282">
        <v>24.241999999999997</v>
      </c>
      <c r="AH22" s="1267">
        <v>4</v>
      </c>
      <c r="AI22" s="1267">
        <v>2</v>
      </c>
      <c r="AJ22" s="1267">
        <v>2</v>
      </c>
      <c r="AK22" s="1267">
        <v>1</v>
      </c>
      <c r="AL22" s="1267">
        <v>2</v>
      </c>
      <c r="AM22" s="1267">
        <v>2</v>
      </c>
      <c r="AN22" s="1267">
        <v>3</v>
      </c>
      <c r="AO22" s="1267">
        <v>2</v>
      </c>
      <c r="AP22" s="1267">
        <v>109</v>
      </c>
      <c r="AQ22" s="1267"/>
      <c r="AR22" s="1267">
        <v>2</v>
      </c>
      <c r="AS22" s="1267">
        <v>5</v>
      </c>
      <c r="AT22" s="1267">
        <v>2</v>
      </c>
      <c r="AU22" s="1267"/>
      <c r="AV22" s="1133">
        <f t="shared" si="84"/>
        <v>3.81</v>
      </c>
      <c r="AW22" s="1134">
        <f t="shared" si="85"/>
        <v>1.25</v>
      </c>
      <c r="AX22" s="1134">
        <f t="shared" si="86"/>
        <v>0.15</v>
      </c>
      <c r="AY22" s="1135">
        <f t="shared" si="87"/>
        <v>0.96500000000000008</v>
      </c>
      <c r="AZ22" s="1136">
        <f t="shared" si="88"/>
        <v>0.79756804796948821</v>
      </c>
      <c r="BA22" s="1137">
        <f t="shared" si="89"/>
        <v>0.89993809999999996</v>
      </c>
      <c r="BB22" s="956">
        <f t="shared" si="90"/>
        <v>1.06</v>
      </c>
      <c r="BC22" s="1138">
        <f t="shared" si="91"/>
        <v>1</v>
      </c>
      <c r="BD22" s="1139">
        <f t="shared" si="92"/>
        <v>90.74</v>
      </c>
      <c r="BE22" s="1138">
        <f t="shared" si="93"/>
        <v>0.4284962642018243</v>
      </c>
      <c r="BF22" s="1140">
        <f t="shared" si="94"/>
        <v>1</v>
      </c>
      <c r="BG22" s="1137">
        <f t="shared" si="95"/>
        <v>0.03</v>
      </c>
      <c r="BH22" s="956">
        <f t="shared" si="96"/>
        <v>1.35</v>
      </c>
      <c r="BI22" s="956">
        <f t="shared" si="97"/>
        <v>1.08</v>
      </c>
      <c r="BJ22" s="956">
        <f t="shared" si="98"/>
        <v>0</v>
      </c>
      <c r="BK22" s="956">
        <f t="shared" si="99"/>
        <v>1.08</v>
      </c>
      <c r="BL22" s="956">
        <f t="shared" si="100"/>
        <v>0</v>
      </c>
      <c r="BM22" s="1141">
        <f t="shared" si="101"/>
        <v>407.15789473684202</v>
      </c>
      <c r="BN22" s="1142">
        <f t="shared" si="102"/>
        <v>0.99999924886490033</v>
      </c>
      <c r="BO22" s="1143">
        <f t="shared" si="103"/>
        <v>0.43227500000000002</v>
      </c>
      <c r="BP22" s="1144">
        <f t="shared" si="104"/>
        <v>1</v>
      </c>
      <c r="BQ22" s="1134">
        <f t="shared" si="105"/>
        <v>0.9</v>
      </c>
      <c r="BR22" s="1145" t="str">
        <f t="shared" si="106"/>
        <v>.</v>
      </c>
      <c r="BS22" s="1146" t="e">
        <f t="shared" si="107"/>
        <v>#VALUE!</v>
      </c>
      <c r="BT22" s="1147">
        <f>VLOOKUP(AP22,'CROP FACTORS'!$C$5:$N$130,7,FALSE)</f>
        <v>5.5</v>
      </c>
      <c r="BU22" s="1148">
        <f>VLOOKUP(AP22,'CROP FACTORS'!$C$5:$P$130,8,FALSE)</f>
        <v>1</v>
      </c>
      <c r="BV22" s="1149">
        <f t="shared" si="108"/>
        <v>4.3014000000000001</v>
      </c>
      <c r="BW22" s="1150">
        <f t="shared" si="109"/>
        <v>0.48757020922055722</v>
      </c>
      <c r="BX22" s="1137">
        <f>VLOOKUP(AP22,'CROP FACTORS'!$C$5:$N$130,10,FALSE)</f>
        <v>13</v>
      </c>
      <c r="BY22" s="1138">
        <f t="shared" si="110"/>
        <v>88.484687800000074</v>
      </c>
      <c r="BZ22" s="956">
        <f t="shared" si="111"/>
        <v>0.01</v>
      </c>
      <c r="CA22" s="956">
        <f t="shared" si="112"/>
        <v>0.99</v>
      </c>
      <c r="CB22" s="1148">
        <f t="shared" si="113"/>
        <v>89.33002626489737</v>
      </c>
      <c r="CC22" s="1148">
        <f t="shared" si="114"/>
        <v>88.475839331220072</v>
      </c>
      <c r="CD22" s="956">
        <f t="shared" si="115"/>
        <v>140</v>
      </c>
      <c r="CE22" s="956">
        <f t="shared" si="116"/>
        <v>90000</v>
      </c>
      <c r="CF22" s="956">
        <f t="shared" si="117"/>
        <v>1</v>
      </c>
      <c r="CG22" s="956">
        <f t="shared" si="118"/>
        <v>0.02</v>
      </c>
      <c r="CH22" s="956">
        <f t="shared" si="119"/>
        <v>90868.5</v>
      </c>
      <c r="CI22" s="956">
        <f t="shared" si="120"/>
        <v>91800</v>
      </c>
      <c r="CJ22" s="1138">
        <f t="shared" si="121"/>
        <v>1.25</v>
      </c>
      <c r="CK22" s="1138">
        <f t="shared" si="122"/>
        <v>2.1</v>
      </c>
      <c r="CL22" s="1138">
        <f t="shared" si="123"/>
        <v>1.25</v>
      </c>
      <c r="CM22" s="1138">
        <f t="shared" si="124"/>
        <v>1.25</v>
      </c>
      <c r="CN22" s="1151">
        <f t="shared" si="125"/>
        <v>2.8</v>
      </c>
      <c r="CO22" s="1138">
        <f t="shared" si="126"/>
        <v>0.34099667322559135</v>
      </c>
      <c r="CP22" s="1138">
        <f t="shared" si="127"/>
        <v>0.34315904733653285</v>
      </c>
      <c r="CQ22" s="1152">
        <f t="shared" si="128"/>
        <v>0.34099667322559135</v>
      </c>
      <c r="CR22" s="1153">
        <f t="shared" si="129"/>
        <v>0.34315904733653285</v>
      </c>
      <c r="CS22" s="1137">
        <f t="shared" si="130"/>
        <v>0.79400000000000004</v>
      </c>
      <c r="CT22" s="956">
        <f t="shared" si="131"/>
        <v>88.025000000000006</v>
      </c>
      <c r="CU22" s="956">
        <f t="shared" si="132"/>
        <v>-12.061</v>
      </c>
      <c r="CV22" s="956">
        <f t="shared" si="133"/>
        <v>0</v>
      </c>
      <c r="CW22" s="956">
        <f t="shared" si="134"/>
        <v>9.3587152000000007</v>
      </c>
      <c r="CX22" s="956">
        <f t="shared" si="135"/>
        <v>-10.275524000000001</v>
      </c>
      <c r="CY22" s="1154">
        <f t="shared" si="136"/>
        <v>1.5539859910511395</v>
      </c>
      <c r="CZ22" s="1155">
        <f t="shared" si="137"/>
        <v>0.47856817251003392</v>
      </c>
      <c r="DA22" s="1137" t="e">
        <f>MIN(VLOOKUP(AP22,'CROP FACTORS'!$C$5:$N$130,2,FALSE),VLOOKUP(AQ22,'CROP FACTORS'!$C$5:$N$130,2,FALSE))</f>
        <v>#N/A</v>
      </c>
      <c r="DB22" s="956" t="e">
        <f>MIN(VLOOKUP(AP22,'CROP FACTORS'!$C$5:$N$130,4,FALSE),VLOOKUP(AQ22,'CROP FACTORS'!$C$5:$N$130,4,FALSE))</f>
        <v>#N/A</v>
      </c>
      <c r="DC22" s="1156" t="e">
        <f t="shared" si="138"/>
        <v>#N/A</v>
      </c>
      <c r="DD22" s="1138">
        <f t="shared" si="139"/>
        <v>1.07</v>
      </c>
      <c r="DE22" s="1157" t="str">
        <f t="shared" si="140"/>
        <v>.</v>
      </c>
      <c r="DF22" s="1138" t="e">
        <f t="shared" si="141"/>
        <v>#N/A</v>
      </c>
      <c r="DG22" s="1158" t="e">
        <f t="shared" si="142"/>
        <v>#N/A</v>
      </c>
      <c r="DH22" s="1159" t="str">
        <f t="shared" si="143"/>
        <v>.</v>
      </c>
      <c r="DI22" s="1153" t="e">
        <f t="shared" si="144"/>
        <v>#VALUE!</v>
      </c>
      <c r="DJ22" s="1133">
        <f t="shared" si="145"/>
        <v>5.8</v>
      </c>
      <c r="DK22" s="1160">
        <f t="shared" si="146"/>
        <v>2.9</v>
      </c>
      <c r="DL22" s="1134">
        <f t="shared" si="147"/>
        <v>2.1</v>
      </c>
      <c r="DM22" s="1161">
        <f t="shared" si="148"/>
        <v>40.004715972152155</v>
      </c>
      <c r="DN22" s="1144">
        <f t="shared" si="149"/>
        <v>52.142000000000003</v>
      </c>
      <c r="DO22" s="1162">
        <f t="shared" si="150"/>
        <v>0.14406146104843481</v>
      </c>
      <c r="DP22" s="1163">
        <f t="shared" si="151"/>
        <v>0.14406146104843481</v>
      </c>
      <c r="DQ22" s="1133">
        <f t="shared" si="152"/>
        <v>1.0541</v>
      </c>
      <c r="DR22" s="1134">
        <f t="shared" si="153"/>
        <v>-9.8099999999999993E-3</v>
      </c>
      <c r="DS22" s="1164">
        <f t="shared" si="154"/>
        <v>24.241999999999997</v>
      </c>
      <c r="DT22" s="1146">
        <f t="shared" si="155"/>
        <v>0.22310100849625522</v>
      </c>
      <c r="DU22" s="1165">
        <f t="shared" si="156"/>
        <v>0.79756804796948821</v>
      </c>
      <c r="DV22" s="1166">
        <f t="shared" si="157"/>
        <v>1</v>
      </c>
      <c r="DW22" s="1166">
        <f t="shared" si="158"/>
        <v>0.99999924886490033</v>
      </c>
      <c r="DX22" s="1166"/>
      <c r="DY22" s="1166">
        <f t="shared" si="159"/>
        <v>0.48757020922055722</v>
      </c>
      <c r="DZ22" s="1166">
        <f t="shared" si="160"/>
        <v>0.34099667322559135</v>
      </c>
      <c r="EA22" s="1138"/>
      <c r="EB22" s="1166">
        <f t="shared" si="161"/>
        <v>0.47856817251003392</v>
      </c>
      <c r="EC22" s="1166"/>
      <c r="ED22" s="1138"/>
      <c r="EE22" s="1166">
        <f t="shared" si="162"/>
        <v>0.14406146104843481</v>
      </c>
      <c r="EF22" s="1140">
        <f t="shared" si="163"/>
        <v>0.22310100849625522</v>
      </c>
      <c r="EG22" s="1159">
        <f t="shared" si="164"/>
        <v>4.4718648213352612</v>
      </c>
      <c r="EH22" s="1167">
        <f t="shared" si="165"/>
        <v>8</v>
      </c>
      <c r="EI22" s="1150">
        <f t="shared" si="166"/>
        <v>0.55898310266690765</v>
      </c>
      <c r="EJ22" s="1168">
        <f t="shared" si="167"/>
        <v>1.4785681725100339</v>
      </c>
      <c r="EK22" s="1169">
        <f t="shared" si="168"/>
        <v>2</v>
      </c>
      <c r="EL22" s="1170">
        <f t="shared" si="169"/>
        <v>0.73928408625501696</v>
      </c>
      <c r="EM22" s="1159">
        <f t="shared" si="170"/>
        <v>0.48757020922055722</v>
      </c>
      <c r="EN22" s="1167">
        <f t="shared" si="171"/>
        <v>1</v>
      </c>
      <c r="EO22" s="1171">
        <f t="shared" si="172"/>
        <v>0.48757020922055722</v>
      </c>
      <c r="EP22" s="1168">
        <f t="shared" si="173"/>
        <v>1.9416287578828233</v>
      </c>
      <c r="EQ22" s="1169">
        <f t="shared" si="174"/>
        <v>3</v>
      </c>
      <c r="ER22" s="1146">
        <f t="shared" si="175"/>
        <v>0.64720958596094114</v>
      </c>
      <c r="ES22" s="1159">
        <f t="shared" si="176"/>
        <v>0.5640976817218466</v>
      </c>
      <c r="ET22" s="1167">
        <f t="shared" si="177"/>
        <v>2</v>
      </c>
      <c r="EU22" s="1155">
        <f t="shared" si="178"/>
        <v>0.2820488408609233</v>
      </c>
      <c r="EV22" s="1159">
        <f t="shared" si="179"/>
        <v>1.0516678909424038</v>
      </c>
      <c r="EW22" s="1167">
        <f t="shared" si="180"/>
        <v>3</v>
      </c>
      <c r="EX22" s="1155">
        <f t="shared" si="181"/>
        <v>0.35055596364746794</v>
      </c>
    </row>
    <row r="23" spans="2:154" s="1200" customFormat="1">
      <c r="B23" s="1218" t="s">
        <v>1263</v>
      </c>
      <c r="C23" s="1219">
        <v>4</v>
      </c>
      <c r="D23" s="1226" t="s">
        <v>1267</v>
      </c>
      <c r="E23" s="1226" t="s">
        <v>1268</v>
      </c>
      <c r="F23" s="1227" t="s">
        <v>1266</v>
      </c>
      <c r="P23" s="963"/>
      <c r="V23" s="1278">
        <v>15</v>
      </c>
      <c r="W23" s="1262">
        <v>0.99499999999999988</v>
      </c>
      <c r="X23" s="1283">
        <v>95.02</v>
      </c>
      <c r="Y23" s="1272">
        <v>363.64200140944337</v>
      </c>
      <c r="Z23" s="1255" t="s">
        <v>1058</v>
      </c>
      <c r="AA23" s="1277">
        <v>4.3014000000000001</v>
      </c>
      <c r="AB23" s="1261">
        <v>2.8</v>
      </c>
      <c r="AC23" s="1282">
        <v>1.6465200178040154</v>
      </c>
      <c r="AD23" s="1271" t="s">
        <v>1058</v>
      </c>
      <c r="AE23" s="1271" t="s">
        <v>1058</v>
      </c>
      <c r="AF23" s="1254">
        <v>37.317816540119033</v>
      </c>
      <c r="AG23" s="1282">
        <v>30.888999999999999</v>
      </c>
      <c r="AH23" s="1267">
        <v>4</v>
      </c>
      <c r="AI23" s="1267">
        <v>2</v>
      </c>
      <c r="AJ23" s="1267">
        <v>2</v>
      </c>
      <c r="AK23" s="1267">
        <v>1</v>
      </c>
      <c r="AL23" s="1267">
        <v>2</v>
      </c>
      <c r="AM23" s="1267">
        <v>2</v>
      </c>
      <c r="AN23" s="1267">
        <v>3</v>
      </c>
      <c r="AO23" s="1267">
        <v>2</v>
      </c>
      <c r="AP23" s="1267">
        <v>109</v>
      </c>
      <c r="AQ23" s="1267"/>
      <c r="AR23" s="1267">
        <v>2</v>
      </c>
      <c r="AS23" s="1267">
        <v>5</v>
      </c>
      <c r="AT23" s="1267">
        <v>2</v>
      </c>
      <c r="AU23" s="1267"/>
      <c r="AV23" s="1133">
        <f t="shared" si="84"/>
        <v>3.81</v>
      </c>
      <c r="AW23" s="1134">
        <f t="shared" si="85"/>
        <v>1.25</v>
      </c>
      <c r="AX23" s="1134">
        <f t="shared" si="86"/>
        <v>0.15</v>
      </c>
      <c r="AY23" s="1135">
        <f t="shared" si="87"/>
        <v>0.99499999999999988</v>
      </c>
      <c r="AZ23" s="1136">
        <f t="shared" si="88"/>
        <v>0.82280517545291409</v>
      </c>
      <c r="BA23" s="1137">
        <f t="shared" si="89"/>
        <v>0.89993809999999996</v>
      </c>
      <c r="BB23" s="956">
        <f t="shared" si="90"/>
        <v>1.06</v>
      </c>
      <c r="BC23" s="1138">
        <f t="shared" si="91"/>
        <v>1</v>
      </c>
      <c r="BD23" s="1139">
        <f t="shared" si="92"/>
        <v>95.02</v>
      </c>
      <c r="BE23" s="1138">
        <f t="shared" si="93"/>
        <v>0.31350245535526267</v>
      </c>
      <c r="BF23" s="1140">
        <f t="shared" si="94"/>
        <v>1</v>
      </c>
      <c r="BG23" s="1137">
        <f t="shared" si="95"/>
        <v>0.03</v>
      </c>
      <c r="BH23" s="956">
        <f t="shared" si="96"/>
        <v>1.35</v>
      </c>
      <c r="BI23" s="956">
        <f t="shared" si="97"/>
        <v>1.08</v>
      </c>
      <c r="BJ23" s="956">
        <f t="shared" si="98"/>
        <v>0</v>
      </c>
      <c r="BK23" s="956">
        <f t="shared" si="99"/>
        <v>1.08</v>
      </c>
      <c r="BL23" s="956">
        <f t="shared" si="100"/>
        <v>0</v>
      </c>
      <c r="BM23" s="1141">
        <f t="shared" si="101"/>
        <v>363.64200140944337</v>
      </c>
      <c r="BN23" s="1142">
        <f t="shared" si="102"/>
        <v>0.99999496098243246</v>
      </c>
      <c r="BO23" s="1143">
        <f t="shared" si="103"/>
        <v>0.43227500000000002</v>
      </c>
      <c r="BP23" s="1144">
        <f t="shared" si="104"/>
        <v>1</v>
      </c>
      <c r="BQ23" s="1134">
        <f t="shared" si="105"/>
        <v>0.9</v>
      </c>
      <c r="BR23" s="1145" t="str">
        <f t="shared" si="106"/>
        <v>.</v>
      </c>
      <c r="BS23" s="1146" t="e">
        <f t="shared" si="107"/>
        <v>#VALUE!</v>
      </c>
      <c r="BT23" s="1147">
        <f>VLOOKUP(AP23,'CROP FACTORS'!$C$5:$N$130,7,FALSE)</f>
        <v>5.5</v>
      </c>
      <c r="BU23" s="1148">
        <f>VLOOKUP(AP23,'CROP FACTORS'!$C$5:$P$130,8,FALSE)</f>
        <v>1</v>
      </c>
      <c r="BV23" s="1149">
        <f t="shared" si="108"/>
        <v>4.3014000000000001</v>
      </c>
      <c r="BW23" s="1150">
        <f t="shared" si="109"/>
        <v>0.48757020922055722</v>
      </c>
      <c r="BX23" s="1137">
        <f>VLOOKUP(AP23,'CROP FACTORS'!$C$5:$N$130,10,FALSE)</f>
        <v>13</v>
      </c>
      <c r="BY23" s="1138">
        <f t="shared" si="110"/>
        <v>88.484687800000074</v>
      </c>
      <c r="BZ23" s="956">
        <f t="shared" si="111"/>
        <v>0.01</v>
      </c>
      <c r="CA23" s="956">
        <f t="shared" si="112"/>
        <v>0.99</v>
      </c>
      <c r="CB23" s="1148">
        <f t="shared" si="113"/>
        <v>89.35630621717398</v>
      </c>
      <c r="CC23" s="1148">
        <f t="shared" si="114"/>
        <v>88.475839331220072</v>
      </c>
      <c r="CD23" s="956">
        <f t="shared" si="115"/>
        <v>140</v>
      </c>
      <c r="CE23" s="956">
        <f t="shared" si="116"/>
        <v>90000</v>
      </c>
      <c r="CF23" s="956">
        <f t="shared" si="117"/>
        <v>1</v>
      </c>
      <c r="CG23" s="956">
        <f t="shared" si="118"/>
        <v>0.02</v>
      </c>
      <c r="CH23" s="956">
        <f t="shared" si="119"/>
        <v>90895.5</v>
      </c>
      <c r="CI23" s="956">
        <f t="shared" si="120"/>
        <v>91800</v>
      </c>
      <c r="CJ23" s="1138">
        <f t="shared" si="121"/>
        <v>1.25</v>
      </c>
      <c r="CK23" s="1138">
        <f t="shared" si="122"/>
        <v>2.1</v>
      </c>
      <c r="CL23" s="1138">
        <f t="shared" si="123"/>
        <v>1.25</v>
      </c>
      <c r="CM23" s="1138">
        <f t="shared" si="124"/>
        <v>1.25</v>
      </c>
      <c r="CN23" s="1151">
        <f t="shared" si="125"/>
        <v>2.8</v>
      </c>
      <c r="CO23" s="1138">
        <f t="shared" si="126"/>
        <v>0.34093057757135414</v>
      </c>
      <c r="CP23" s="1138">
        <f t="shared" si="127"/>
        <v>0.34315904733653285</v>
      </c>
      <c r="CQ23" s="1152">
        <f t="shared" si="128"/>
        <v>0.34093057757135414</v>
      </c>
      <c r="CR23" s="1153">
        <f t="shared" si="129"/>
        <v>0.34315904733653285</v>
      </c>
      <c r="CS23" s="1137">
        <f t="shared" si="130"/>
        <v>0.79400000000000004</v>
      </c>
      <c r="CT23" s="956">
        <f t="shared" si="131"/>
        <v>88.025000000000006</v>
      </c>
      <c r="CU23" s="956">
        <f t="shared" si="132"/>
        <v>-12.061</v>
      </c>
      <c r="CV23" s="956">
        <f t="shared" si="133"/>
        <v>0</v>
      </c>
      <c r="CW23" s="956">
        <f t="shared" si="134"/>
        <v>9.3587152000000007</v>
      </c>
      <c r="CX23" s="956">
        <f t="shared" si="135"/>
        <v>-10.275524000000001</v>
      </c>
      <c r="CY23" s="1154">
        <f t="shared" si="136"/>
        <v>1.6465200178040154</v>
      </c>
      <c r="CZ23" s="1155">
        <f t="shared" si="137"/>
        <v>0.35365454705980381</v>
      </c>
      <c r="DA23" s="1137" t="e">
        <f>MIN(VLOOKUP(AP23,'CROP FACTORS'!$C$5:$N$130,2,FALSE),VLOOKUP(AQ23,'CROP FACTORS'!$C$5:$N$130,2,FALSE))</f>
        <v>#N/A</v>
      </c>
      <c r="DB23" s="956" t="e">
        <f>MIN(VLOOKUP(AP23,'CROP FACTORS'!$C$5:$N$130,4,FALSE),VLOOKUP(AQ23,'CROP FACTORS'!$C$5:$N$130,4,FALSE))</f>
        <v>#N/A</v>
      </c>
      <c r="DC23" s="1156" t="e">
        <f t="shared" si="138"/>
        <v>#N/A</v>
      </c>
      <c r="DD23" s="1138">
        <f t="shared" si="139"/>
        <v>1.07</v>
      </c>
      <c r="DE23" s="1157" t="str">
        <f t="shared" si="140"/>
        <v>.</v>
      </c>
      <c r="DF23" s="1138" t="e">
        <f t="shared" si="141"/>
        <v>#N/A</v>
      </c>
      <c r="DG23" s="1158" t="e">
        <f t="shared" si="142"/>
        <v>#N/A</v>
      </c>
      <c r="DH23" s="1159" t="str">
        <f t="shared" si="143"/>
        <v>.</v>
      </c>
      <c r="DI23" s="1153" t="e">
        <f t="shared" si="144"/>
        <v>#VALUE!</v>
      </c>
      <c r="DJ23" s="1133">
        <f t="shared" si="145"/>
        <v>5.8</v>
      </c>
      <c r="DK23" s="1160">
        <f t="shared" si="146"/>
        <v>2.9</v>
      </c>
      <c r="DL23" s="1134">
        <f t="shared" si="147"/>
        <v>2.1</v>
      </c>
      <c r="DM23" s="1161">
        <f t="shared" si="148"/>
        <v>37.317816540119033</v>
      </c>
      <c r="DN23" s="1144">
        <f t="shared" si="149"/>
        <v>52.142000000000003</v>
      </c>
      <c r="DO23" s="1162">
        <f t="shared" si="150"/>
        <v>0.12760790112998838</v>
      </c>
      <c r="DP23" s="1163">
        <f t="shared" si="151"/>
        <v>0.12760790112998838</v>
      </c>
      <c r="DQ23" s="1133">
        <f t="shared" si="152"/>
        <v>1.0541</v>
      </c>
      <c r="DR23" s="1134">
        <f t="shared" si="153"/>
        <v>-9.8099999999999993E-3</v>
      </c>
      <c r="DS23" s="1164">
        <f t="shared" si="154"/>
        <v>30.888999999999999</v>
      </c>
      <c r="DT23" s="1146">
        <f t="shared" si="155"/>
        <v>0.27555911211634393</v>
      </c>
      <c r="DU23" s="1165">
        <f t="shared" si="156"/>
        <v>0.82280517545291409</v>
      </c>
      <c r="DV23" s="1166">
        <f t="shared" si="157"/>
        <v>1</v>
      </c>
      <c r="DW23" s="1166">
        <f t="shared" si="158"/>
        <v>0.99999496098243246</v>
      </c>
      <c r="DX23" s="1166"/>
      <c r="DY23" s="1166">
        <f t="shared" si="159"/>
        <v>0.48757020922055722</v>
      </c>
      <c r="DZ23" s="1166">
        <f t="shared" si="160"/>
        <v>0.34093057757135414</v>
      </c>
      <c r="EA23" s="1138"/>
      <c r="EB23" s="1166">
        <f t="shared" si="161"/>
        <v>0.35365454705980381</v>
      </c>
      <c r="EC23" s="1166"/>
      <c r="ED23" s="1138"/>
      <c r="EE23" s="1166">
        <f t="shared" si="162"/>
        <v>0.12760790112998838</v>
      </c>
      <c r="EF23" s="1140">
        <f t="shared" si="163"/>
        <v>0.27555911211634393</v>
      </c>
      <c r="EG23" s="1159">
        <f t="shared" si="164"/>
        <v>4.4081224835333943</v>
      </c>
      <c r="EH23" s="1167">
        <f t="shared" si="165"/>
        <v>8</v>
      </c>
      <c r="EI23" s="1150">
        <f t="shared" si="166"/>
        <v>0.55101531044167429</v>
      </c>
      <c r="EJ23" s="1168">
        <f t="shared" si="167"/>
        <v>1.3536545470598038</v>
      </c>
      <c r="EK23" s="1169">
        <f t="shared" si="168"/>
        <v>2</v>
      </c>
      <c r="EL23" s="1170">
        <f t="shared" si="169"/>
        <v>0.67682727352990191</v>
      </c>
      <c r="EM23" s="1159">
        <f t="shared" si="170"/>
        <v>0.48757020922055722</v>
      </c>
      <c r="EN23" s="1167">
        <f t="shared" si="171"/>
        <v>1</v>
      </c>
      <c r="EO23" s="1171">
        <f t="shared" si="172"/>
        <v>0.48757020922055722</v>
      </c>
      <c r="EP23" s="1168">
        <f t="shared" si="173"/>
        <v>1.950408037565335</v>
      </c>
      <c r="EQ23" s="1169">
        <f t="shared" si="174"/>
        <v>3</v>
      </c>
      <c r="ER23" s="1146">
        <f t="shared" si="175"/>
        <v>0.65013601252177833</v>
      </c>
      <c r="ES23" s="1159">
        <f t="shared" si="176"/>
        <v>0.61648968968769813</v>
      </c>
      <c r="ET23" s="1167">
        <f t="shared" si="177"/>
        <v>2</v>
      </c>
      <c r="EU23" s="1155">
        <f t="shared" si="178"/>
        <v>0.30824484484384906</v>
      </c>
      <c r="EV23" s="1159">
        <f t="shared" si="179"/>
        <v>1.1040598989082553</v>
      </c>
      <c r="EW23" s="1167">
        <f t="shared" si="180"/>
        <v>3</v>
      </c>
      <c r="EX23" s="1155">
        <f t="shared" si="181"/>
        <v>0.36801996630275174</v>
      </c>
    </row>
    <row r="24" spans="2:154" s="1200" customFormat="1">
      <c r="B24" s="1218" t="s">
        <v>1263</v>
      </c>
      <c r="C24" s="1219">
        <v>5</v>
      </c>
      <c r="D24" s="1226" t="s">
        <v>1267</v>
      </c>
      <c r="E24" s="1226" t="s">
        <v>1268</v>
      </c>
      <c r="F24" s="1227" t="s">
        <v>1266</v>
      </c>
      <c r="P24" s="963"/>
      <c r="V24" s="1278">
        <v>15</v>
      </c>
      <c r="W24" s="1262">
        <v>0.80300000000000016</v>
      </c>
      <c r="X24" s="1283">
        <v>91.360000000000014</v>
      </c>
      <c r="Y24" s="1272">
        <v>341.13475177304974</v>
      </c>
      <c r="Z24" s="1255" t="s">
        <v>1058</v>
      </c>
      <c r="AA24" s="1277">
        <v>4.3014000000000001</v>
      </c>
      <c r="AB24" s="1261">
        <v>3.4</v>
      </c>
      <c r="AC24" s="1282">
        <v>1.6885702907208284</v>
      </c>
      <c r="AD24" s="1271" t="s">
        <v>1058</v>
      </c>
      <c r="AE24" s="1271" t="s">
        <v>1058</v>
      </c>
      <c r="AF24" s="1254">
        <v>35.384326476443277</v>
      </c>
      <c r="AG24" s="1282">
        <v>25.414999999999999</v>
      </c>
      <c r="AH24" s="1267">
        <v>4</v>
      </c>
      <c r="AI24" s="1267">
        <v>2</v>
      </c>
      <c r="AJ24" s="1267">
        <v>2</v>
      </c>
      <c r="AK24" s="1267">
        <v>1</v>
      </c>
      <c r="AL24" s="1267">
        <v>2</v>
      </c>
      <c r="AM24" s="1267">
        <v>2</v>
      </c>
      <c r="AN24" s="1267">
        <v>3</v>
      </c>
      <c r="AO24" s="1267">
        <v>2</v>
      </c>
      <c r="AP24" s="1267">
        <v>109</v>
      </c>
      <c r="AQ24" s="1267"/>
      <c r="AR24" s="1267">
        <v>2</v>
      </c>
      <c r="AS24" s="1267">
        <v>5</v>
      </c>
      <c r="AT24" s="1267">
        <v>2</v>
      </c>
      <c r="AU24" s="1267"/>
      <c r="AV24" s="1133">
        <f t="shared" si="84"/>
        <v>3.81</v>
      </c>
      <c r="AW24" s="1134">
        <f t="shared" si="85"/>
        <v>1.25</v>
      </c>
      <c r="AX24" s="1134">
        <f t="shared" si="86"/>
        <v>0.15</v>
      </c>
      <c r="AY24" s="1135">
        <f t="shared" si="87"/>
        <v>0.80300000000000016</v>
      </c>
      <c r="AZ24" s="1136">
        <f t="shared" si="88"/>
        <v>0.61867064789730875</v>
      </c>
      <c r="BA24" s="1137">
        <f t="shared" si="89"/>
        <v>0.89993809999999996</v>
      </c>
      <c r="BB24" s="956">
        <f t="shared" si="90"/>
        <v>1.06</v>
      </c>
      <c r="BC24" s="1138">
        <f t="shared" si="91"/>
        <v>1</v>
      </c>
      <c r="BD24" s="1139">
        <f t="shared" si="92"/>
        <v>91.360000000000014</v>
      </c>
      <c r="BE24" s="1138">
        <f t="shared" si="93"/>
        <v>0.41235190157824786</v>
      </c>
      <c r="BF24" s="1140">
        <f t="shared" si="94"/>
        <v>1</v>
      </c>
      <c r="BG24" s="1137">
        <f t="shared" si="95"/>
        <v>0.03</v>
      </c>
      <c r="BH24" s="956">
        <f t="shared" si="96"/>
        <v>1.35</v>
      </c>
      <c r="BI24" s="956">
        <f t="shared" si="97"/>
        <v>1.08</v>
      </c>
      <c r="BJ24" s="956">
        <f t="shared" si="98"/>
        <v>0</v>
      </c>
      <c r="BK24" s="956">
        <f t="shared" si="99"/>
        <v>1.08</v>
      </c>
      <c r="BL24" s="956">
        <f t="shared" si="100"/>
        <v>0</v>
      </c>
      <c r="BM24" s="1141">
        <f t="shared" si="101"/>
        <v>341.13475177304974</v>
      </c>
      <c r="BN24" s="1142">
        <f t="shared" si="102"/>
        <v>0.99998651376159919</v>
      </c>
      <c r="BO24" s="1143">
        <f t="shared" si="103"/>
        <v>0.43227500000000002</v>
      </c>
      <c r="BP24" s="1144">
        <f t="shared" si="104"/>
        <v>1</v>
      </c>
      <c r="BQ24" s="1134">
        <f t="shared" si="105"/>
        <v>0.9</v>
      </c>
      <c r="BR24" s="1145" t="str">
        <f t="shared" si="106"/>
        <v>.</v>
      </c>
      <c r="BS24" s="1146" t="e">
        <f t="shared" si="107"/>
        <v>#VALUE!</v>
      </c>
      <c r="BT24" s="1147">
        <f>VLOOKUP(AP24,'CROP FACTORS'!$C$5:$N$130,7,FALSE)</f>
        <v>5.5</v>
      </c>
      <c r="BU24" s="1148">
        <f>VLOOKUP(AP24,'CROP FACTORS'!$C$5:$P$130,8,FALSE)</f>
        <v>1</v>
      </c>
      <c r="BV24" s="1149">
        <f t="shared" si="108"/>
        <v>4.3014000000000001</v>
      </c>
      <c r="BW24" s="1150">
        <f t="shared" si="109"/>
        <v>0.48757020922055722</v>
      </c>
      <c r="BX24" s="1137">
        <f>VLOOKUP(AP24,'CROP FACTORS'!$C$5:$N$130,10,FALSE)</f>
        <v>13</v>
      </c>
      <c r="BY24" s="1138">
        <f t="shared" si="110"/>
        <v>88.484687800000074</v>
      </c>
      <c r="BZ24" s="956">
        <f t="shared" si="111"/>
        <v>0.01</v>
      </c>
      <c r="CA24" s="956">
        <f t="shared" si="112"/>
        <v>0.99</v>
      </c>
      <c r="CB24" s="1148">
        <f t="shared" si="113"/>
        <v>89.18811452260374</v>
      </c>
      <c r="CC24" s="1148">
        <f t="shared" si="114"/>
        <v>88.475839331220072</v>
      </c>
      <c r="CD24" s="956">
        <f t="shared" si="115"/>
        <v>140</v>
      </c>
      <c r="CE24" s="956">
        <f t="shared" si="116"/>
        <v>90000</v>
      </c>
      <c r="CF24" s="956">
        <f t="shared" si="117"/>
        <v>1</v>
      </c>
      <c r="CG24" s="956">
        <f t="shared" si="118"/>
        <v>0.02</v>
      </c>
      <c r="CH24" s="956">
        <f t="shared" si="119"/>
        <v>90722.7</v>
      </c>
      <c r="CI24" s="956">
        <f t="shared" si="120"/>
        <v>91800</v>
      </c>
      <c r="CJ24" s="1138">
        <f t="shared" si="121"/>
        <v>1.25</v>
      </c>
      <c r="CK24" s="1138">
        <f t="shared" si="122"/>
        <v>2.1</v>
      </c>
      <c r="CL24" s="1138">
        <f t="shared" si="123"/>
        <v>1.25</v>
      </c>
      <c r="CM24" s="1138">
        <f t="shared" si="124"/>
        <v>1.25</v>
      </c>
      <c r="CN24" s="1151">
        <f t="shared" si="125"/>
        <v>3.4</v>
      </c>
      <c r="CO24" s="1138">
        <f t="shared" si="126"/>
        <v>0.48421609755252626</v>
      </c>
      <c r="CP24" s="1138">
        <f t="shared" si="127"/>
        <v>0.48621889118777073</v>
      </c>
      <c r="CQ24" s="1152">
        <f t="shared" si="128"/>
        <v>0.48421609755252626</v>
      </c>
      <c r="CR24" s="1153">
        <f t="shared" si="129"/>
        <v>0.48621889118777073</v>
      </c>
      <c r="CS24" s="1137">
        <f t="shared" si="130"/>
        <v>0.79400000000000004</v>
      </c>
      <c r="CT24" s="956">
        <f t="shared" si="131"/>
        <v>88.025000000000006</v>
      </c>
      <c r="CU24" s="956">
        <f t="shared" si="132"/>
        <v>-12.061</v>
      </c>
      <c r="CV24" s="956">
        <f t="shared" si="133"/>
        <v>0</v>
      </c>
      <c r="CW24" s="956">
        <f t="shared" si="134"/>
        <v>9.3587152000000007</v>
      </c>
      <c r="CX24" s="956">
        <f t="shared" si="135"/>
        <v>-10.275524000000001</v>
      </c>
      <c r="CY24" s="1154">
        <f t="shared" si="136"/>
        <v>1.6885702907208284</v>
      </c>
      <c r="CZ24" s="1155">
        <f t="shared" si="137"/>
        <v>0.31649804944001203</v>
      </c>
      <c r="DA24" s="1137" t="e">
        <f>MIN(VLOOKUP(AP24,'CROP FACTORS'!$C$5:$N$130,2,FALSE),VLOOKUP(AQ24,'CROP FACTORS'!$C$5:$N$130,2,FALSE))</f>
        <v>#N/A</v>
      </c>
      <c r="DB24" s="956" t="e">
        <f>MIN(VLOOKUP(AP24,'CROP FACTORS'!$C$5:$N$130,4,FALSE),VLOOKUP(AQ24,'CROP FACTORS'!$C$5:$N$130,4,FALSE))</f>
        <v>#N/A</v>
      </c>
      <c r="DC24" s="1156" t="e">
        <f t="shared" si="138"/>
        <v>#N/A</v>
      </c>
      <c r="DD24" s="1138">
        <f t="shared" si="139"/>
        <v>1.07</v>
      </c>
      <c r="DE24" s="1157" t="str">
        <f t="shared" si="140"/>
        <v>.</v>
      </c>
      <c r="DF24" s="1138" t="e">
        <f t="shared" si="141"/>
        <v>#N/A</v>
      </c>
      <c r="DG24" s="1158" t="e">
        <f t="shared" si="142"/>
        <v>#N/A</v>
      </c>
      <c r="DH24" s="1159" t="str">
        <f t="shared" si="143"/>
        <v>.</v>
      </c>
      <c r="DI24" s="1153" t="e">
        <f t="shared" si="144"/>
        <v>#VALUE!</v>
      </c>
      <c r="DJ24" s="1133">
        <f t="shared" si="145"/>
        <v>5.8</v>
      </c>
      <c r="DK24" s="1160">
        <f t="shared" si="146"/>
        <v>2.9</v>
      </c>
      <c r="DL24" s="1134">
        <f t="shared" si="147"/>
        <v>2.1</v>
      </c>
      <c r="DM24" s="1161">
        <f t="shared" si="148"/>
        <v>35.384326476443277</v>
      </c>
      <c r="DN24" s="1144">
        <f t="shared" si="149"/>
        <v>52.142000000000003</v>
      </c>
      <c r="DO24" s="1162">
        <f t="shared" si="150"/>
        <v>0.11678524924888574</v>
      </c>
      <c r="DP24" s="1163">
        <f t="shared" si="151"/>
        <v>0.11678524924888574</v>
      </c>
      <c r="DQ24" s="1133">
        <f t="shared" si="152"/>
        <v>1.0541</v>
      </c>
      <c r="DR24" s="1134">
        <f t="shared" si="153"/>
        <v>-9.8099999999999993E-3</v>
      </c>
      <c r="DS24" s="1164">
        <f t="shared" si="154"/>
        <v>25.414999999999999</v>
      </c>
      <c r="DT24" s="1146">
        <f t="shared" si="155"/>
        <v>0.23260861438142499</v>
      </c>
      <c r="DU24" s="1165">
        <f t="shared" si="156"/>
        <v>0.61867064789730875</v>
      </c>
      <c r="DV24" s="1166">
        <f t="shared" si="157"/>
        <v>1</v>
      </c>
      <c r="DW24" s="1166">
        <f t="shared" si="158"/>
        <v>0.99998651376159919</v>
      </c>
      <c r="DX24" s="1166"/>
      <c r="DY24" s="1166">
        <f t="shared" si="159"/>
        <v>0.48757020922055722</v>
      </c>
      <c r="DZ24" s="1166">
        <f t="shared" si="160"/>
        <v>0.48421609755252626</v>
      </c>
      <c r="EA24" s="1138"/>
      <c r="EB24" s="1166">
        <f t="shared" si="161"/>
        <v>0.31649804944001203</v>
      </c>
      <c r="EC24" s="1166"/>
      <c r="ED24" s="1138"/>
      <c r="EE24" s="1166">
        <f t="shared" si="162"/>
        <v>0.11678524924888574</v>
      </c>
      <c r="EF24" s="1140">
        <f t="shared" si="163"/>
        <v>0.23260861438142499</v>
      </c>
      <c r="EG24" s="1159">
        <f t="shared" si="164"/>
        <v>4.2563353815023142</v>
      </c>
      <c r="EH24" s="1167">
        <f t="shared" si="165"/>
        <v>8</v>
      </c>
      <c r="EI24" s="1150">
        <f t="shared" si="166"/>
        <v>0.53204192268778927</v>
      </c>
      <c r="EJ24" s="1168">
        <f t="shared" si="167"/>
        <v>1.316498049440012</v>
      </c>
      <c r="EK24" s="1169">
        <f t="shared" si="168"/>
        <v>2</v>
      </c>
      <c r="EL24" s="1170">
        <f t="shared" si="169"/>
        <v>0.65824902472000602</v>
      </c>
      <c r="EM24" s="1159">
        <f t="shared" si="170"/>
        <v>0.48757020922055722</v>
      </c>
      <c r="EN24" s="1167">
        <f t="shared" si="171"/>
        <v>1</v>
      </c>
      <c r="EO24" s="1171">
        <f t="shared" si="172"/>
        <v>0.48757020922055722</v>
      </c>
      <c r="EP24" s="1168">
        <f t="shared" si="173"/>
        <v>1.7354424109077935</v>
      </c>
      <c r="EQ24" s="1169">
        <f t="shared" si="174"/>
        <v>3</v>
      </c>
      <c r="ER24" s="1146">
        <f t="shared" si="175"/>
        <v>0.57848080363593113</v>
      </c>
      <c r="ES24" s="1159">
        <f t="shared" si="176"/>
        <v>0.71682471193395125</v>
      </c>
      <c r="ET24" s="1167">
        <f t="shared" si="177"/>
        <v>2</v>
      </c>
      <c r="EU24" s="1155">
        <f t="shared" si="178"/>
        <v>0.35841235596697563</v>
      </c>
      <c r="EV24" s="1159">
        <f t="shared" si="179"/>
        <v>1.2043949211545084</v>
      </c>
      <c r="EW24" s="1167">
        <f t="shared" si="180"/>
        <v>3</v>
      </c>
      <c r="EX24" s="1155">
        <f t="shared" si="181"/>
        <v>0.40146497371816947</v>
      </c>
    </row>
    <row r="25" spans="2:154" s="1200" customFormat="1">
      <c r="B25" s="1218" t="s">
        <v>1263</v>
      </c>
      <c r="C25" s="1219">
        <v>6</v>
      </c>
      <c r="D25" s="1226" t="s">
        <v>1267</v>
      </c>
      <c r="E25" s="1226" t="s">
        <v>1268</v>
      </c>
      <c r="F25" s="1227" t="s">
        <v>1266</v>
      </c>
      <c r="P25" s="963"/>
      <c r="V25" s="1278">
        <v>15</v>
      </c>
      <c r="W25" s="1262">
        <v>0.85250000000000004</v>
      </c>
      <c r="X25" s="1283">
        <v>94.46</v>
      </c>
      <c r="Y25" s="1272">
        <v>393.65865741887518</v>
      </c>
      <c r="Z25" s="1255" t="s">
        <v>1058</v>
      </c>
      <c r="AA25" s="1277">
        <v>4.3936000000000002</v>
      </c>
      <c r="AB25" s="1261">
        <v>3</v>
      </c>
      <c r="AC25" s="1282">
        <v>1.6888045540796965</v>
      </c>
      <c r="AD25" s="1271" t="s">
        <v>1058</v>
      </c>
      <c r="AE25" s="1271" t="s">
        <v>1058</v>
      </c>
      <c r="AF25" s="1254">
        <v>45.422284588476543</v>
      </c>
      <c r="AG25" s="1282">
        <v>25.024000000000001</v>
      </c>
      <c r="AH25" s="1267">
        <v>4</v>
      </c>
      <c r="AI25" s="1267">
        <v>2</v>
      </c>
      <c r="AJ25" s="1267">
        <v>2</v>
      </c>
      <c r="AK25" s="1267">
        <v>1</v>
      </c>
      <c r="AL25" s="1267">
        <v>2</v>
      </c>
      <c r="AM25" s="1267">
        <v>2</v>
      </c>
      <c r="AN25" s="1267">
        <v>3</v>
      </c>
      <c r="AO25" s="1267">
        <v>2</v>
      </c>
      <c r="AP25" s="1267">
        <v>109</v>
      </c>
      <c r="AQ25" s="1267"/>
      <c r="AR25" s="1267">
        <v>2</v>
      </c>
      <c r="AS25" s="1267">
        <v>5</v>
      </c>
      <c r="AT25" s="1267">
        <v>2</v>
      </c>
      <c r="AU25" s="1267"/>
      <c r="AV25" s="1133">
        <f t="shared" si="84"/>
        <v>3.81</v>
      </c>
      <c r="AW25" s="1134">
        <f t="shared" si="85"/>
        <v>1.25</v>
      </c>
      <c r="AX25" s="1134">
        <f t="shared" si="86"/>
        <v>0.15</v>
      </c>
      <c r="AY25" s="1135">
        <f t="shared" si="87"/>
        <v>0.85250000000000004</v>
      </c>
      <c r="AZ25" s="1136">
        <f t="shared" si="88"/>
        <v>0.68027044389220925</v>
      </c>
      <c r="BA25" s="1137">
        <f t="shared" si="89"/>
        <v>0.89993809999999996</v>
      </c>
      <c r="BB25" s="956">
        <f t="shared" si="90"/>
        <v>1.06</v>
      </c>
      <c r="BC25" s="1138">
        <f t="shared" si="91"/>
        <v>1</v>
      </c>
      <c r="BD25" s="1139">
        <f t="shared" si="92"/>
        <v>94.46</v>
      </c>
      <c r="BE25" s="1138">
        <f t="shared" si="93"/>
        <v>0.32900877960086572</v>
      </c>
      <c r="BF25" s="1140">
        <f t="shared" si="94"/>
        <v>1</v>
      </c>
      <c r="BG25" s="1137">
        <f t="shared" si="95"/>
        <v>0.03</v>
      </c>
      <c r="BH25" s="956">
        <f t="shared" si="96"/>
        <v>1.35</v>
      </c>
      <c r="BI25" s="956">
        <f t="shared" si="97"/>
        <v>1.08</v>
      </c>
      <c r="BJ25" s="956">
        <f t="shared" si="98"/>
        <v>0</v>
      </c>
      <c r="BK25" s="956">
        <f t="shared" si="99"/>
        <v>1.08</v>
      </c>
      <c r="BL25" s="956">
        <f t="shared" si="100"/>
        <v>0</v>
      </c>
      <c r="BM25" s="1141">
        <f t="shared" si="101"/>
        <v>393.65865741887518</v>
      </c>
      <c r="BN25" s="1142">
        <f t="shared" si="102"/>
        <v>0.99999864434289454</v>
      </c>
      <c r="BO25" s="1143">
        <f t="shared" si="103"/>
        <v>0.43227500000000002</v>
      </c>
      <c r="BP25" s="1144">
        <f t="shared" si="104"/>
        <v>1</v>
      </c>
      <c r="BQ25" s="1134">
        <f t="shared" si="105"/>
        <v>0.9</v>
      </c>
      <c r="BR25" s="1145" t="str">
        <f t="shared" si="106"/>
        <v>.</v>
      </c>
      <c r="BS25" s="1146" t="e">
        <f t="shared" si="107"/>
        <v>#VALUE!</v>
      </c>
      <c r="BT25" s="1147">
        <f>VLOOKUP(AP25,'CROP FACTORS'!$C$5:$N$130,7,FALSE)</f>
        <v>5.5</v>
      </c>
      <c r="BU25" s="1148">
        <f>VLOOKUP(AP25,'CROP FACTORS'!$C$5:$P$130,8,FALSE)</f>
        <v>1</v>
      </c>
      <c r="BV25" s="1149">
        <f t="shared" si="108"/>
        <v>4.3936000000000002</v>
      </c>
      <c r="BW25" s="1150">
        <f t="shared" si="109"/>
        <v>0.54223245810320009</v>
      </c>
      <c r="BX25" s="1137">
        <f>VLOOKUP(AP25,'CROP FACTORS'!$C$5:$N$130,10,FALSE)</f>
        <v>13</v>
      </c>
      <c r="BY25" s="1138">
        <f t="shared" si="110"/>
        <v>88.484687800000074</v>
      </c>
      <c r="BZ25" s="956">
        <f t="shared" si="111"/>
        <v>0.01</v>
      </c>
      <c r="CA25" s="956">
        <f t="shared" si="112"/>
        <v>0.99</v>
      </c>
      <c r="CB25" s="1148">
        <f t="shared" si="113"/>
        <v>89.231476443860132</v>
      </c>
      <c r="CC25" s="1148">
        <f t="shared" si="114"/>
        <v>88.475839331220072</v>
      </c>
      <c r="CD25" s="956">
        <f t="shared" si="115"/>
        <v>140</v>
      </c>
      <c r="CE25" s="956">
        <f t="shared" si="116"/>
        <v>90000</v>
      </c>
      <c r="CF25" s="956">
        <f t="shared" si="117"/>
        <v>1</v>
      </c>
      <c r="CG25" s="956">
        <f t="shared" si="118"/>
        <v>0.02</v>
      </c>
      <c r="CH25" s="956">
        <f t="shared" si="119"/>
        <v>90767.25</v>
      </c>
      <c r="CI25" s="956">
        <f t="shared" si="120"/>
        <v>91800</v>
      </c>
      <c r="CJ25" s="1138">
        <f t="shared" si="121"/>
        <v>1.25</v>
      </c>
      <c r="CK25" s="1138">
        <f t="shared" si="122"/>
        <v>2.1</v>
      </c>
      <c r="CL25" s="1138">
        <f t="shared" si="123"/>
        <v>1.25</v>
      </c>
      <c r="CM25" s="1138">
        <f t="shared" si="124"/>
        <v>1.25</v>
      </c>
      <c r="CN25" s="1151">
        <f t="shared" si="125"/>
        <v>3</v>
      </c>
      <c r="CO25" s="1138">
        <f t="shared" si="126"/>
        <v>0.39016058123312436</v>
      </c>
      <c r="CP25" s="1138">
        <f t="shared" si="127"/>
        <v>0.39218591432768157</v>
      </c>
      <c r="CQ25" s="1152">
        <f t="shared" si="128"/>
        <v>0.39016058123312436</v>
      </c>
      <c r="CR25" s="1153">
        <f t="shared" si="129"/>
        <v>0.39218591432768157</v>
      </c>
      <c r="CS25" s="1137">
        <f t="shared" si="130"/>
        <v>0.79400000000000004</v>
      </c>
      <c r="CT25" s="956">
        <f t="shared" si="131"/>
        <v>88.025000000000006</v>
      </c>
      <c r="CU25" s="956">
        <f t="shared" si="132"/>
        <v>-12.061</v>
      </c>
      <c r="CV25" s="956">
        <f t="shared" si="133"/>
        <v>0</v>
      </c>
      <c r="CW25" s="956">
        <f t="shared" si="134"/>
        <v>9.3587152000000007</v>
      </c>
      <c r="CX25" s="956">
        <f t="shared" si="135"/>
        <v>-10.275524000000001</v>
      </c>
      <c r="CY25" s="1154">
        <f t="shared" si="136"/>
        <v>1.6888045540796965</v>
      </c>
      <c r="CZ25" s="1155">
        <f t="shared" si="137"/>
        <v>0.3163183110139397</v>
      </c>
      <c r="DA25" s="1137" t="e">
        <f>MIN(VLOOKUP(AP25,'CROP FACTORS'!$C$5:$N$130,2,FALSE),VLOOKUP(AQ25,'CROP FACTORS'!$C$5:$N$130,2,FALSE))</f>
        <v>#N/A</v>
      </c>
      <c r="DB25" s="956" t="e">
        <f>MIN(VLOOKUP(AP25,'CROP FACTORS'!$C$5:$N$130,4,FALSE),VLOOKUP(AQ25,'CROP FACTORS'!$C$5:$N$130,4,FALSE))</f>
        <v>#N/A</v>
      </c>
      <c r="DC25" s="1156" t="e">
        <f t="shared" si="138"/>
        <v>#N/A</v>
      </c>
      <c r="DD25" s="1138">
        <f t="shared" si="139"/>
        <v>1.07</v>
      </c>
      <c r="DE25" s="1157" t="str">
        <f t="shared" si="140"/>
        <v>.</v>
      </c>
      <c r="DF25" s="1138" t="e">
        <f t="shared" si="141"/>
        <v>#N/A</v>
      </c>
      <c r="DG25" s="1158" t="e">
        <f t="shared" si="142"/>
        <v>#N/A</v>
      </c>
      <c r="DH25" s="1159" t="str">
        <f t="shared" si="143"/>
        <v>.</v>
      </c>
      <c r="DI25" s="1153" t="e">
        <f t="shared" si="144"/>
        <v>#VALUE!</v>
      </c>
      <c r="DJ25" s="1133">
        <f t="shared" si="145"/>
        <v>5.8</v>
      </c>
      <c r="DK25" s="1160">
        <f t="shared" si="146"/>
        <v>2.9</v>
      </c>
      <c r="DL25" s="1134">
        <f t="shared" si="147"/>
        <v>2.1</v>
      </c>
      <c r="DM25" s="1161">
        <f t="shared" si="148"/>
        <v>45.422284588476543</v>
      </c>
      <c r="DN25" s="1144">
        <f t="shared" si="149"/>
        <v>52.142000000000003</v>
      </c>
      <c r="DO25" s="1162">
        <f t="shared" si="150"/>
        <v>0.18258492733722076</v>
      </c>
      <c r="DP25" s="1163">
        <f t="shared" si="151"/>
        <v>0.18258492733722076</v>
      </c>
      <c r="DQ25" s="1133">
        <f t="shared" si="152"/>
        <v>1.0541</v>
      </c>
      <c r="DR25" s="1134">
        <f t="shared" si="153"/>
        <v>-9.8099999999999993E-3</v>
      </c>
      <c r="DS25" s="1164">
        <f t="shared" si="154"/>
        <v>25.024000000000001</v>
      </c>
      <c r="DT25" s="1146">
        <f t="shared" si="155"/>
        <v>0.22945156075834114</v>
      </c>
      <c r="DU25" s="1165">
        <f t="shared" si="156"/>
        <v>0.68027044389220925</v>
      </c>
      <c r="DV25" s="1166">
        <f t="shared" si="157"/>
        <v>1</v>
      </c>
      <c r="DW25" s="1166">
        <f t="shared" si="158"/>
        <v>0.99999864434289454</v>
      </c>
      <c r="DX25" s="1166"/>
      <c r="DY25" s="1166">
        <f t="shared" si="159"/>
        <v>0.54223245810320009</v>
      </c>
      <c r="DZ25" s="1166">
        <f t="shared" si="160"/>
        <v>0.39016058123312436</v>
      </c>
      <c r="EA25" s="1138"/>
      <c r="EB25" s="1166">
        <f t="shared" si="161"/>
        <v>0.3163183110139397</v>
      </c>
      <c r="EC25" s="1166"/>
      <c r="ED25" s="1138"/>
      <c r="EE25" s="1166">
        <f t="shared" si="162"/>
        <v>0.18258492733722076</v>
      </c>
      <c r="EF25" s="1140">
        <f t="shared" si="163"/>
        <v>0.22945156075834114</v>
      </c>
      <c r="EG25" s="1159">
        <f t="shared" si="164"/>
        <v>4.34101692668093</v>
      </c>
      <c r="EH25" s="1167">
        <f t="shared" si="165"/>
        <v>8</v>
      </c>
      <c r="EI25" s="1150">
        <f t="shared" si="166"/>
        <v>0.54262711583511625</v>
      </c>
      <c r="EJ25" s="1168">
        <f t="shared" si="167"/>
        <v>1.3163183110139398</v>
      </c>
      <c r="EK25" s="1169">
        <f t="shared" si="168"/>
        <v>2</v>
      </c>
      <c r="EL25" s="1170">
        <f t="shared" si="169"/>
        <v>0.65815915550696991</v>
      </c>
      <c r="EM25" s="1159">
        <f t="shared" si="170"/>
        <v>0.54223245810320009</v>
      </c>
      <c r="EN25" s="1167">
        <f t="shared" si="171"/>
        <v>1</v>
      </c>
      <c r="EO25" s="1171">
        <f t="shared" si="172"/>
        <v>0.54223245810320009</v>
      </c>
      <c r="EP25" s="1168">
        <f t="shared" si="173"/>
        <v>1.8628540155723243</v>
      </c>
      <c r="EQ25" s="1169">
        <f t="shared" si="174"/>
        <v>3</v>
      </c>
      <c r="ER25" s="1146">
        <f t="shared" si="175"/>
        <v>0.62095133852410811</v>
      </c>
      <c r="ES25" s="1159">
        <f t="shared" si="176"/>
        <v>0.61961214199146553</v>
      </c>
      <c r="ET25" s="1167">
        <f t="shared" si="177"/>
        <v>2</v>
      </c>
      <c r="EU25" s="1155">
        <f t="shared" si="178"/>
        <v>0.30980607099573276</v>
      </c>
      <c r="EV25" s="1159">
        <f t="shared" si="179"/>
        <v>1.1618446000946656</v>
      </c>
      <c r="EW25" s="1167">
        <f t="shared" si="180"/>
        <v>3</v>
      </c>
      <c r="EX25" s="1155">
        <f t="shared" si="181"/>
        <v>0.38728153336488852</v>
      </c>
    </row>
    <row r="26" spans="2:154" s="1200" customFormat="1">
      <c r="B26" s="1218" t="s">
        <v>1263</v>
      </c>
      <c r="C26" s="1219">
        <v>7</v>
      </c>
      <c r="D26" s="1226" t="s">
        <v>1267</v>
      </c>
      <c r="E26" s="1226" t="s">
        <v>1268</v>
      </c>
      <c r="F26" s="1227" t="s">
        <v>1266</v>
      </c>
      <c r="P26" s="963"/>
      <c r="V26" s="1278">
        <v>15</v>
      </c>
      <c r="W26" s="1262">
        <v>0.95950000000000002</v>
      </c>
      <c r="X26" s="1283">
        <v>91.9</v>
      </c>
      <c r="Y26" s="1272">
        <v>149.9754299754299</v>
      </c>
      <c r="Z26" s="1255" t="s">
        <v>1058</v>
      </c>
      <c r="AA26" s="1277">
        <v>4.3014000000000001</v>
      </c>
      <c r="AB26" s="1261">
        <v>3.8</v>
      </c>
      <c r="AC26" s="1282">
        <v>1.692201372783283</v>
      </c>
      <c r="AD26" s="1271" t="s">
        <v>1058</v>
      </c>
      <c r="AE26" s="1271" t="s">
        <v>1058</v>
      </c>
      <c r="AF26" s="1254">
        <v>47.411289734764139</v>
      </c>
      <c r="AG26" s="1282">
        <v>26.588000000000001</v>
      </c>
      <c r="AH26" s="1267">
        <v>4</v>
      </c>
      <c r="AI26" s="1267">
        <v>2</v>
      </c>
      <c r="AJ26" s="1267">
        <v>2</v>
      </c>
      <c r="AK26" s="1267">
        <v>1</v>
      </c>
      <c r="AL26" s="1267">
        <v>2</v>
      </c>
      <c r="AM26" s="1267">
        <v>2</v>
      </c>
      <c r="AN26" s="1267">
        <v>3</v>
      </c>
      <c r="AO26" s="1267">
        <v>2</v>
      </c>
      <c r="AP26" s="1267">
        <v>109</v>
      </c>
      <c r="AQ26" s="1267"/>
      <c r="AR26" s="1267">
        <v>2</v>
      </c>
      <c r="AS26" s="1267">
        <v>5</v>
      </c>
      <c r="AT26" s="1267">
        <v>2</v>
      </c>
      <c r="AU26" s="1267"/>
      <c r="AV26" s="1133">
        <f t="shared" si="84"/>
        <v>3.81</v>
      </c>
      <c r="AW26" s="1134">
        <f t="shared" si="85"/>
        <v>1.25</v>
      </c>
      <c r="AX26" s="1134">
        <f t="shared" si="86"/>
        <v>0.15</v>
      </c>
      <c r="AY26" s="1135">
        <f t="shared" si="87"/>
        <v>0.95950000000000002</v>
      </c>
      <c r="AZ26" s="1136">
        <f t="shared" si="88"/>
        <v>0.79266100815239426</v>
      </c>
      <c r="BA26" s="1137">
        <f t="shared" si="89"/>
        <v>0.89993809999999996</v>
      </c>
      <c r="BB26" s="956">
        <f t="shared" si="90"/>
        <v>1.06</v>
      </c>
      <c r="BC26" s="1138">
        <f t="shared" si="91"/>
        <v>1</v>
      </c>
      <c r="BD26" s="1139">
        <f t="shared" si="92"/>
        <v>91.9</v>
      </c>
      <c r="BE26" s="1138">
        <f t="shared" si="93"/>
        <v>0.39814557346501644</v>
      </c>
      <c r="BF26" s="1140">
        <f t="shared" si="94"/>
        <v>1</v>
      </c>
      <c r="BG26" s="1137">
        <f t="shared" si="95"/>
        <v>0.03</v>
      </c>
      <c r="BH26" s="956">
        <f t="shared" si="96"/>
        <v>1.35</v>
      </c>
      <c r="BI26" s="956">
        <f t="shared" si="97"/>
        <v>1.08</v>
      </c>
      <c r="BJ26" s="956">
        <f t="shared" si="98"/>
        <v>0</v>
      </c>
      <c r="BK26" s="956">
        <f t="shared" si="99"/>
        <v>1.08</v>
      </c>
      <c r="BL26" s="956">
        <f t="shared" si="100"/>
        <v>0</v>
      </c>
      <c r="BM26" s="1141">
        <f t="shared" si="101"/>
        <v>149.9754299754299</v>
      </c>
      <c r="BN26" s="1142">
        <f t="shared" si="102"/>
        <v>0.94544872383406109</v>
      </c>
      <c r="BO26" s="1143">
        <f t="shared" si="103"/>
        <v>0.43227500000000002</v>
      </c>
      <c r="BP26" s="1144">
        <f t="shared" si="104"/>
        <v>1</v>
      </c>
      <c r="BQ26" s="1134">
        <f t="shared" si="105"/>
        <v>0.9</v>
      </c>
      <c r="BR26" s="1145" t="str">
        <f t="shared" si="106"/>
        <v>.</v>
      </c>
      <c r="BS26" s="1146" t="e">
        <f t="shared" si="107"/>
        <v>#VALUE!</v>
      </c>
      <c r="BT26" s="1147">
        <f>VLOOKUP(AP26,'CROP FACTORS'!$C$5:$N$130,7,FALSE)</f>
        <v>5.5</v>
      </c>
      <c r="BU26" s="1148">
        <f>VLOOKUP(AP26,'CROP FACTORS'!$C$5:$P$130,8,FALSE)</f>
        <v>1</v>
      </c>
      <c r="BV26" s="1149">
        <f t="shared" si="108"/>
        <v>4.3014000000000001</v>
      </c>
      <c r="BW26" s="1150">
        <f t="shared" si="109"/>
        <v>0.48757020922055722</v>
      </c>
      <c r="BX26" s="1137">
        <f>VLOOKUP(AP26,'CROP FACTORS'!$C$5:$N$130,10,FALSE)</f>
        <v>13</v>
      </c>
      <c r="BY26" s="1138">
        <f t="shared" si="110"/>
        <v>88.484687800000074</v>
      </c>
      <c r="BZ26" s="956">
        <f t="shared" si="111"/>
        <v>0.01</v>
      </c>
      <c r="CA26" s="956">
        <f t="shared" si="112"/>
        <v>0.99</v>
      </c>
      <c r="CB26" s="1148">
        <f t="shared" si="113"/>
        <v>89.325208273646666</v>
      </c>
      <c r="CC26" s="1148">
        <f t="shared" si="114"/>
        <v>88.475839331220072</v>
      </c>
      <c r="CD26" s="956">
        <f t="shared" si="115"/>
        <v>140</v>
      </c>
      <c r="CE26" s="956">
        <f t="shared" si="116"/>
        <v>90000</v>
      </c>
      <c r="CF26" s="956">
        <f t="shared" si="117"/>
        <v>1</v>
      </c>
      <c r="CG26" s="956">
        <f t="shared" si="118"/>
        <v>0.02</v>
      </c>
      <c r="CH26" s="956">
        <f t="shared" si="119"/>
        <v>90863.55</v>
      </c>
      <c r="CI26" s="956">
        <f t="shared" si="120"/>
        <v>91800</v>
      </c>
      <c r="CJ26" s="1138">
        <f t="shared" si="121"/>
        <v>1.25</v>
      </c>
      <c r="CK26" s="1138">
        <f t="shared" si="122"/>
        <v>2.1</v>
      </c>
      <c r="CL26" s="1138">
        <f t="shared" si="123"/>
        <v>1.25</v>
      </c>
      <c r="CM26" s="1138">
        <f t="shared" si="124"/>
        <v>1.25</v>
      </c>
      <c r="CN26" s="1151">
        <f t="shared" si="125"/>
        <v>3.8</v>
      </c>
      <c r="CO26" s="1138">
        <f t="shared" si="126"/>
        <v>0.56848068548788822</v>
      </c>
      <c r="CP26" s="1138">
        <f t="shared" si="127"/>
        <v>0.57082286901448631</v>
      </c>
      <c r="CQ26" s="1152">
        <f t="shared" si="128"/>
        <v>0.56848068548788822</v>
      </c>
      <c r="CR26" s="1153">
        <f t="shared" si="129"/>
        <v>0.57082286901448631</v>
      </c>
      <c r="CS26" s="1137">
        <f t="shared" si="130"/>
        <v>0.79400000000000004</v>
      </c>
      <c r="CT26" s="956">
        <f t="shared" si="131"/>
        <v>88.025000000000006</v>
      </c>
      <c r="CU26" s="956">
        <f t="shared" si="132"/>
        <v>-12.061</v>
      </c>
      <c r="CV26" s="956">
        <f t="shared" si="133"/>
        <v>0</v>
      </c>
      <c r="CW26" s="956">
        <f t="shared" si="134"/>
        <v>9.3587152000000007</v>
      </c>
      <c r="CX26" s="956">
        <f t="shared" si="135"/>
        <v>-10.275524000000001</v>
      </c>
      <c r="CY26" s="1154">
        <f t="shared" si="136"/>
        <v>1.692201372783283</v>
      </c>
      <c r="CZ26" s="1155">
        <f t="shared" si="137"/>
        <v>0.31374312504628821</v>
      </c>
      <c r="DA26" s="1137" t="e">
        <f>MIN(VLOOKUP(AP26,'CROP FACTORS'!$C$5:$N$130,2,FALSE),VLOOKUP(AQ26,'CROP FACTORS'!$C$5:$N$130,2,FALSE))</f>
        <v>#N/A</v>
      </c>
      <c r="DB26" s="956" t="e">
        <f>MIN(VLOOKUP(AP26,'CROP FACTORS'!$C$5:$N$130,4,FALSE),VLOOKUP(AQ26,'CROP FACTORS'!$C$5:$N$130,4,FALSE))</f>
        <v>#N/A</v>
      </c>
      <c r="DC26" s="1156" t="e">
        <f t="shared" si="138"/>
        <v>#N/A</v>
      </c>
      <c r="DD26" s="1138">
        <f t="shared" si="139"/>
        <v>1.07</v>
      </c>
      <c r="DE26" s="1157" t="str">
        <f t="shared" si="140"/>
        <v>.</v>
      </c>
      <c r="DF26" s="1138" t="e">
        <f t="shared" si="141"/>
        <v>#N/A</v>
      </c>
      <c r="DG26" s="1158" t="e">
        <f t="shared" si="142"/>
        <v>#N/A</v>
      </c>
      <c r="DH26" s="1159" t="str">
        <f t="shared" si="143"/>
        <v>.</v>
      </c>
      <c r="DI26" s="1153" t="e">
        <f t="shared" si="144"/>
        <v>#VALUE!</v>
      </c>
      <c r="DJ26" s="1133">
        <f t="shared" si="145"/>
        <v>5.8</v>
      </c>
      <c r="DK26" s="1160">
        <f t="shared" si="146"/>
        <v>2.9</v>
      </c>
      <c r="DL26" s="1134">
        <f t="shared" si="147"/>
        <v>2.1</v>
      </c>
      <c r="DM26" s="1161">
        <f t="shared" si="148"/>
        <v>47.411289734764139</v>
      </c>
      <c r="DN26" s="1144">
        <f t="shared" si="149"/>
        <v>52.142000000000003</v>
      </c>
      <c r="DO26" s="1162">
        <f t="shared" si="150"/>
        <v>0.19861404938954993</v>
      </c>
      <c r="DP26" s="1163">
        <f t="shared" si="151"/>
        <v>0.19861404938954993</v>
      </c>
      <c r="DQ26" s="1133">
        <f t="shared" si="152"/>
        <v>1.0541</v>
      </c>
      <c r="DR26" s="1134">
        <f t="shared" si="153"/>
        <v>-9.8099999999999993E-3</v>
      </c>
      <c r="DS26" s="1164">
        <f t="shared" si="154"/>
        <v>26.588000000000001</v>
      </c>
      <c r="DT26" s="1146">
        <f t="shared" si="155"/>
        <v>0.24200744207240701</v>
      </c>
      <c r="DU26" s="1165">
        <f t="shared" si="156"/>
        <v>0.79266100815239426</v>
      </c>
      <c r="DV26" s="1166">
        <f t="shared" si="157"/>
        <v>1</v>
      </c>
      <c r="DW26" s="1166">
        <f t="shared" si="158"/>
        <v>0.94544872383406109</v>
      </c>
      <c r="DX26" s="1166"/>
      <c r="DY26" s="1166">
        <f t="shared" si="159"/>
        <v>0.48757020922055722</v>
      </c>
      <c r="DZ26" s="1166">
        <f t="shared" si="160"/>
        <v>0.56848068548788822</v>
      </c>
      <c r="EA26" s="1138"/>
      <c r="EB26" s="1166">
        <f t="shared" si="161"/>
        <v>0.31374312504628821</v>
      </c>
      <c r="EC26" s="1166"/>
      <c r="ED26" s="1138"/>
      <c r="EE26" s="1166">
        <f t="shared" si="162"/>
        <v>0.19861404938954993</v>
      </c>
      <c r="EF26" s="1140">
        <f t="shared" si="163"/>
        <v>0.24200744207240701</v>
      </c>
      <c r="EG26" s="1159">
        <f t="shared" si="164"/>
        <v>4.5485252432031462</v>
      </c>
      <c r="EH26" s="1167">
        <f t="shared" si="165"/>
        <v>8</v>
      </c>
      <c r="EI26" s="1150">
        <f t="shared" si="166"/>
        <v>0.56856565540039328</v>
      </c>
      <c r="EJ26" s="1168">
        <f t="shared" si="167"/>
        <v>1.3137431250462881</v>
      </c>
      <c r="EK26" s="1169">
        <f t="shared" si="168"/>
        <v>2</v>
      </c>
      <c r="EL26" s="1170">
        <f t="shared" si="169"/>
        <v>0.65687156252314405</v>
      </c>
      <c r="EM26" s="1159">
        <f t="shared" si="170"/>
        <v>0.48757020922055722</v>
      </c>
      <c r="EN26" s="1167">
        <f t="shared" si="171"/>
        <v>1</v>
      </c>
      <c r="EO26" s="1171">
        <f t="shared" si="172"/>
        <v>0.48757020922055722</v>
      </c>
      <c r="EP26" s="1168">
        <f t="shared" si="173"/>
        <v>1.9367237813760052</v>
      </c>
      <c r="EQ26" s="1169">
        <f t="shared" si="174"/>
        <v>3</v>
      </c>
      <c r="ER26" s="1146">
        <f t="shared" si="175"/>
        <v>0.64557459379200177</v>
      </c>
      <c r="ES26" s="1159">
        <f t="shared" si="176"/>
        <v>0.8104881275602952</v>
      </c>
      <c r="ET26" s="1167">
        <f t="shared" si="177"/>
        <v>2</v>
      </c>
      <c r="EU26" s="1155">
        <f t="shared" si="178"/>
        <v>0.4052440637801476</v>
      </c>
      <c r="EV26" s="1159">
        <f t="shared" si="179"/>
        <v>1.2980583367808525</v>
      </c>
      <c r="EW26" s="1167">
        <f t="shared" si="180"/>
        <v>3</v>
      </c>
      <c r="EX26" s="1155">
        <f t="shared" si="181"/>
        <v>0.43268611226028414</v>
      </c>
    </row>
    <row r="27" spans="2:154" s="1200" customFormat="1">
      <c r="B27" s="1218" t="s">
        <v>1263</v>
      </c>
      <c r="C27" s="1219">
        <v>8</v>
      </c>
      <c r="D27" s="1226" t="s">
        <v>1267</v>
      </c>
      <c r="E27" s="1226" t="s">
        <v>1268</v>
      </c>
      <c r="F27" s="1227" t="s">
        <v>1266</v>
      </c>
      <c r="P27" s="963"/>
      <c r="V27" s="1268">
        <v>15.1</v>
      </c>
      <c r="W27" s="1276">
        <v>0.92000000000000015</v>
      </c>
      <c r="X27" s="1260">
        <v>93.120000000000019</v>
      </c>
      <c r="Y27" s="1272">
        <v>142.49201694362986</v>
      </c>
      <c r="Z27" s="1255" t="s">
        <v>1058</v>
      </c>
      <c r="AA27" s="1277">
        <v>4.3936000000000002</v>
      </c>
      <c r="AB27" s="1299">
        <v>2.6</v>
      </c>
      <c r="AC27" s="1291">
        <v>1.5565628879986881</v>
      </c>
      <c r="AD27" s="1271" t="s">
        <v>1058</v>
      </c>
      <c r="AE27" s="1271" t="s">
        <v>1058</v>
      </c>
      <c r="AF27" s="1254">
        <v>31.679807315546032</v>
      </c>
      <c r="AG27" s="1282">
        <v>13.684999999999999</v>
      </c>
      <c r="AH27" s="1285">
        <v>4</v>
      </c>
      <c r="AI27" s="1267">
        <v>2</v>
      </c>
      <c r="AJ27" s="1267">
        <v>2</v>
      </c>
      <c r="AK27" s="1285">
        <v>1</v>
      </c>
      <c r="AL27" s="1285">
        <v>2</v>
      </c>
      <c r="AM27" s="1285">
        <v>2</v>
      </c>
      <c r="AN27" s="1285">
        <v>3</v>
      </c>
      <c r="AO27" s="1285">
        <v>2</v>
      </c>
      <c r="AP27" s="1267">
        <v>109</v>
      </c>
      <c r="AQ27" s="1285"/>
      <c r="AR27" s="1285">
        <v>2</v>
      </c>
      <c r="AS27" s="1285">
        <v>5</v>
      </c>
      <c r="AT27" s="1285">
        <v>2</v>
      </c>
      <c r="AU27" s="1285"/>
      <c r="AV27" s="1133">
        <f t="shared" si="84"/>
        <v>3.81</v>
      </c>
      <c r="AW27" s="1134">
        <f t="shared" si="85"/>
        <v>1.25</v>
      </c>
      <c r="AX27" s="1134">
        <f t="shared" si="86"/>
        <v>0.15</v>
      </c>
      <c r="AY27" s="1135">
        <f t="shared" si="87"/>
        <v>0.92000000000000015</v>
      </c>
      <c r="AZ27" s="1136">
        <f t="shared" si="88"/>
        <v>0.75486021580678064</v>
      </c>
      <c r="BA27" s="1137">
        <f t="shared" si="89"/>
        <v>0.89993809999999996</v>
      </c>
      <c r="BB27" s="956">
        <f t="shared" si="90"/>
        <v>1.06</v>
      </c>
      <c r="BC27" s="1138">
        <f t="shared" si="91"/>
        <v>1</v>
      </c>
      <c r="BD27" s="1139">
        <f t="shared" si="92"/>
        <v>93.120000000000019</v>
      </c>
      <c r="BE27" s="1138">
        <f t="shared" si="93"/>
        <v>0.36556101454347212</v>
      </c>
      <c r="BF27" s="1140">
        <f t="shared" si="94"/>
        <v>1</v>
      </c>
      <c r="BG27" s="1137">
        <f t="shared" si="95"/>
        <v>0.03</v>
      </c>
      <c r="BH27" s="956">
        <f t="shared" si="96"/>
        <v>1.35</v>
      </c>
      <c r="BI27" s="956">
        <f t="shared" si="97"/>
        <v>1.08</v>
      </c>
      <c r="BJ27" s="956">
        <f t="shared" si="98"/>
        <v>0</v>
      </c>
      <c r="BK27" s="956">
        <f t="shared" si="99"/>
        <v>1.08</v>
      </c>
      <c r="BL27" s="956">
        <f t="shared" si="100"/>
        <v>0</v>
      </c>
      <c r="BM27" s="1141">
        <f t="shared" si="101"/>
        <v>142.49201694362986</v>
      </c>
      <c r="BN27" s="1142">
        <f t="shared" si="102"/>
        <v>0.92588925214973417</v>
      </c>
      <c r="BO27" s="1143">
        <f t="shared" si="103"/>
        <v>0.43227500000000002</v>
      </c>
      <c r="BP27" s="1144">
        <f t="shared" si="104"/>
        <v>1</v>
      </c>
      <c r="BQ27" s="1134">
        <f t="shared" si="105"/>
        <v>0.9</v>
      </c>
      <c r="BR27" s="1145" t="str">
        <f t="shared" si="106"/>
        <v>.</v>
      </c>
      <c r="BS27" s="1146" t="e">
        <f t="shared" si="107"/>
        <v>#VALUE!</v>
      </c>
      <c r="BT27" s="1147">
        <f>VLOOKUP(AP27,'CROP FACTORS'!$C$5:$N$130,7,FALSE)</f>
        <v>5.5</v>
      </c>
      <c r="BU27" s="1148">
        <f>VLOOKUP(AP27,'CROP FACTORS'!$C$5:$P$130,8,FALSE)</f>
        <v>1</v>
      </c>
      <c r="BV27" s="1149">
        <f t="shared" si="108"/>
        <v>4.3936000000000002</v>
      </c>
      <c r="BW27" s="1150">
        <f t="shared" si="109"/>
        <v>0.54223245810320009</v>
      </c>
      <c r="BX27" s="1137">
        <f>VLOOKUP(AP27,'CROP FACTORS'!$C$5:$N$130,10,FALSE)</f>
        <v>13</v>
      </c>
      <c r="BY27" s="1138">
        <f t="shared" si="110"/>
        <v>88.484687800000074</v>
      </c>
      <c r="BZ27" s="956">
        <f t="shared" si="111"/>
        <v>0.01</v>
      </c>
      <c r="CA27" s="956">
        <f t="shared" si="112"/>
        <v>0.99</v>
      </c>
      <c r="CB27" s="1148">
        <f t="shared" si="113"/>
        <v>89.290606336482469</v>
      </c>
      <c r="CC27" s="1148">
        <f t="shared" si="114"/>
        <v>88.475839331220072</v>
      </c>
      <c r="CD27" s="956">
        <f t="shared" si="115"/>
        <v>140</v>
      </c>
      <c r="CE27" s="956">
        <f t="shared" si="116"/>
        <v>90000</v>
      </c>
      <c r="CF27" s="956">
        <f t="shared" si="117"/>
        <v>1</v>
      </c>
      <c r="CG27" s="956">
        <f t="shared" si="118"/>
        <v>0.02</v>
      </c>
      <c r="CH27" s="956">
        <f t="shared" si="119"/>
        <v>90828</v>
      </c>
      <c r="CI27" s="956">
        <f t="shared" si="120"/>
        <v>91800</v>
      </c>
      <c r="CJ27" s="1138">
        <f t="shared" si="121"/>
        <v>1.25</v>
      </c>
      <c r="CK27" s="1138">
        <f t="shared" si="122"/>
        <v>2.1</v>
      </c>
      <c r="CL27" s="1138">
        <f t="shared" si="123"/>
        <v>1.25</v>
      </c>
      <c r="CM27" s="1138">
        <f t="shared" si="124"/>
        <v>1.25</v>
      </c>
      <c r="CN27" s="1151">
        <f t="shared" si="125"/>
        <v>2.6</v>
      </c>
      <c r="CO27" s="1138">
        <f t="shared" si="126"/>
        <v>0.29210543769977776</v>
      </c>
      <c r="CP27" s="1138">
        <f t="shared" si="127"/>
        <v>0.29400450596949201</v>
      </c>
      <c r="CQ27" s="1152">
        <f t="shared" si="128"/>
        <v>0.29210543769977776</v>
      </c>
      <c r="CR27" s="1153">
        <f t="shared" si="129"/>
        <v>0.29400450596949201</v>
      </c>
      <c r="CS27" s="1137">
        <f t="shared" si="130"/>
        <v>0.79400000000000004</v>
      </c>
      <c r="CT27" s="956">
        <f t="shared" si="131"/>
        <v>88.025000000000006</v>
      </c>
      <c r="CU27" s="956">
        <f t="shared" si="132"/>
        <v>-12.061</v>
      </c>
      <c r="CV27" s="956">
        <f t="shared" si="133"/>
        <v>0</v>
      </c>
      <c r="CW27" s="956">
        <f t="shared" si="134"/>
        <v>9.3587152000000007</v>
      </c>
      <c r="CX27" s="956">
        <f t="shared" si="135"/>
        <v>-10.275524000000001</v>
      </c>
      <c r="CY27" s="1154">
        <f t="shared" si="136"/>
        <v>1.5565628879986881</v>
      </c>
      <c r="CZ27" s="1155">
        <f t="shared" si="137"/>
        <v>0.47414297413089446</v>
      </c>
      <c r="DA27" s="1137" t="e">
        <f>MIN(VLOOKUP(AP27,'CROP FACTORS'!$C$5:$N$130,2,FALSE),VLOOKUP(AQ27,'CROP FACTORS'!$C$5:$N$130,2,FALSE))</f>
        <v>#N/A</v>
      </c>
      <c r="DB27" s="956" t="e">
        <f>MIN(VLOOKUP(AP27,'CROP FACTORS'!$C$5:$N$130,4,FALSE),VLOOKUP(AQ27,'CROP FACTORS'!$C$5:$N$130,4,FALSE))</f>
        <v>#N/A</v>
      </c>
      <c r="DC27" s="1156" t="e">
        <f t="shared" si="138"/>
        <v>#N/A</v>
      </c>
      <c r="DD27" s="1138">
        <f t="shared" si="139"/>
        <v>1.07</v>
      </c>
      <c r="DE27" s="1157" t="str">
        <f t="shared" si="140"/>
        <v>.</v>
      </c>
      <c r="DF27" s="1138" t="e">
        <f t="shared" si="141"/>
        <v>#N/A</v>
      </c>
      <c r="DG27" s="1158" t="e">
        <f t="shared" si="142"/>
        <v>#N/A</v>
      </c>
      <c r="DH27" s="1159" t="str">
        <f t="shared" si="143"/>
        <v>.</v>
      </c>
      <c r="DI27" s="1153" t="e">
        <f t="shared" si="144"/>
        <v>#VALUE!</v>
      </c>
      <c r="DJ27" s="1133">
        <f t="shared" si="145"/>
        <v>5.8</v>
      </c>
      <c r="DK27" s="1160">
        <f t="shared" si="146"/>
        <v>2.9</v>
      </c>
      <c r="DL27" s="1134">
        <f t="shared" si="147"/>
        <v>2.1</v>
      </c>
      <c r="DM27" s="1161">
        <f t="shared" si="148"/>
        <v>31.679807315546032</v>
      </c>
      <c r="DN27" s="1144">
        <f t="shared" si="149"/>
        <v>52.142000000000003</v>
      </c>
      <c r="DO27" s="1162">
        <f t="shared" si="150"/>
        <v>9.8267675908401173E-2</v>
      </c>
      <c r="DP27" s="1163">
        <f t="shared" si="151"/>
        <v>9.8267675908401173E-2</v>
      </c>
      <c r="DQ27" s="1133">
        <f t="shared" si="152"/>
        <v>1.0541</v>
      </c>
      <c r="DR27" s="1134">
        <f t="shared" si="153"/>
        <v>-9.8099999999999993E-3</v>
      </c>
      <c r="DS27" s="1164">
        <f t="shared" si="154"/>
        <v>13.684999999999999</v>
      </c>
      <c r="DT27" s="1146">
        <f t="shared" si="155"/>
        <v>0.13242492219000612</v>
      </c>
      <c r="DU27" s="1165">
        <f t="shared" si="156"/>
        <v>0.75486021580678064</v>
      </c>
      <c r="DV27" s="1166">
        <f t="shared" si="157"/>
        <v>1</v>
      </c>
      <c r="DW27" s="1166">
        <f t="shared" si="158"/>
        <v>0.92588925214973417</v>
      </c>
      <c r="DX27" s="1166"/>
      <c r="DY27" s="1166">
        <f t="shared" si="159"/>
        <v>0.54223245810320009</v>
      </c>
      <c r="DZ27" s="1166">
        <f t="shared" si="160"/>
        <v>0.29210543769977776</v>
      </c>
      <c r="EA27" s="1138"/>
      <c r="EB27" s="1166">
        <f t="shared" si="161"/>
        <v>0.47414297413089446</v>
      </c>
      <c r="EC27" s="1166"/>
      <c r="ED27" s="1138"/>
      <c r="EE27" s="1166">
        <f t="shared" si="162"/>
        <v>9.8267675908401173E-2</v>
      </c>
      <c r="EF27" s="1140">
        <f t="shared" si="163"/>
        <v>0.13242492219000612</v>
      </c>
      <c r="EG27" s="1159">
        <f t="shared" si="164"/>
        <v>4.2199229359887944</v>
      </c>
      <c r="EH27" s="1167">
        <f t="shared" si="165"/>
        <v>8</v>
      </c>
      <c r="EI27" s="1150">
        <f t="shared" si="166"/>
        <v>0.5274903669985993</v>
      </c>
      <c r="EJ27" s="1168">
        <f t="shared" si="167"/>
        <v>1.4741429741308945</v>
      </c>
      <c r="EK27" s="1169">
        <f t="shared" si="168"/>
        <v>2</v>
      </c>
      <c r="EL27" s="1170">
        <f t="shared" si="169"/>
        <v>0.73707148706544723</v>
      </c>
      <c r="EM27" s="1159">
        <f t="shared" si="170"/>
        <v>0.54223245810320009</v>
      </c>
      <c r="EN27" s="1167">
        <f t="shared" si="171"/>
        <v>1</v>
      </c>
      <c r="EO27" s="1171">
        <f t="shared" si="172"/>
        <v>0.54223245810320009</v>
      </c>
      <c r="EP27" s="1168">
        <f t="shared" si="173"/>
        <v>1.7790171438649161</v>
      </c>
      <c r="EQ27" s="1169">
        <f t="shared" si="174"/>
        <v>3</v>
      </c>
      <c r="ER27" s="1146">
        <f t="shared" si="175"/>
        <v>0.59300571462163865</v>
      </c>
      <c r="ES27" s="1159">
        <f t="shared" si="176"/>
        <v>0.42453035988978388</v>
      </c>
      <c r="ET27" s="1167">
        <f t="shared" si="177"/>
        <v>2</v>
      </c>
      <c r="EU27" s="1155">
        <f t="shared" si="178"/>
        <v>0.21226517994489194</v>
      </c>
      <c r="EV27" s="1159">
        <f t="shared" si="179"/>
        <v>0.96676281799298391</v>
      </c>
      <c r="EW27" s="1167">
        <f t="shared" si="180"/>
        <v>3</v>
      </c>
      <c r="EX27" s="1155">
        <f t="shared" si="181"/>
        <v>0.32225427266432799</v>
      </c>
    </row>
    <row r="28" spans="2:154" s="1200" customFormat="1">
      <c r="B28" s="1222" t="s">
        <v>1263</v>
      </c>
      <c r="C28" s="1223">
        <v>9</v>
      </c>
      <c r="D28" s="1228" t="s">
        <v>1267</v>
      </c>
      <c r="E28" s="1228" t="s">
        <v>1268</v>
      </c>
      <c r="F28" s="1229" t="s">
        <v>1266</v>
      </c>
      <c r="P28" s="963"/>
      <c r="V28" s="1286">
        <v>17.600000000000001</v>
      </c>
      <c r="W28" s="1295">
        <v>1.01</v>
      </c>
      <c r="X28" s="1298">
        <v>94.228571428571428</v>
      </c>
      <c r="Y28" s="1289">
        <v>102.30030643513774</v>
      </c>
      <c r="Z28" s="1255" t="s">
        <v>1058</v>
      </c>
      <c r="AA28" s="1293">
        <v>4.3014000000000001</v>
      </c>
      <c r="AB28" s="1297">
        <v>2.8</v>
      </c>
      <c r="AC28" s="1288">
        <v>1.5722585330428467</v>
      </c>
      <c r="AD28" s="1271" t="s">
        <v>1058</v>
      </c>
      <c r="AE28" s="1271" t="s">
        <v>1058</v>
      </c>
      <c r="AF28" s="1264">
        <v>40.889084441569999</v>
      </c>
      <c r="AG28" s="1288">
        <v>21.114000000000001</v>
      </c>
      <c r="AH28" s="1311">
        <v>4</v>
      </c>
      <c r="AI28" s="1311">
        <v>2</v>
      </c>
      <c r="AJ28" s="1311">
        <v>2</v>
      </c>
      <c r="AK28" s="1311">
        <v>1</v>
      </c>
      <c r="AL28" s="1311">
        <v>2</v>
      </c>
      <c r="AM28" s="1311">
        <v>2</v>
      </c>
      <c r="AN28" s="1311">
        <v>3</v>
      </c>
      <c r="AO28" s="1311">
        <v>2</v>
      </c>
      <c r="AP28" s="1267">
        <v>109</v>
      </c>
      <c r="AQ28" s="1311"/>
      <c r="AR28" s="1311">
        <v>2</v>
      </c>
      <c r="AS28" s="1311">
        <v>5</v>
      </c>
      <c r="AT28" s="1311">
        <v>2</v>
      </c>
      <c r="AU28" s="1311"/>
      <c r="AV28" s="1133">
        <f t="shared" si="84"/>
        <v>3.81</v>
      </c>
      <c r="AW28" s="1134">
        <f t="shared" si="85"/>
        <v>1.25</v>
      </c>
      <c r="AX28" s="1134">
        <f t="shared" si="86"/>
        <v>0.15</v>
      </c>
      <c r="AY28" s="1135">
        <f t="shared" si="87"/>
        <v>1.01</v>
      </c>
      <c r="AZ28" s="1136">
        <f t="shared" si="88"/>
        <v>0.83446701587652938</v>
      </c>
      <c r="BA28" s="1137">
        <f t="shared" si="89"/>
        <v>0.89993809999999996</v>
      </c>
      <c r="BB28" s="956">
        <f t="shared" si="90"/>
        <v>1.06</v>
      </c>
      <c r="BC28" s="1138">
        <f t="shared" si="91"/>
        <v>1</v>
      </c>
      <c r="BD28" s="1139">
        <f t="shared" si="92"/>
        <v>94.228571428571428</v>
      </c>
      <c r="BE28" s="1138">
        <f t="shared" si="93"/>
        <v>0.33537763833443612</v>
      </c>
      <c r="BF28" s="1140">
        <f t="shared" si="94"/>
        <v>1</v>
      </c>
      <c r="BG28" s="1137">
        <f t="shared" si="95"/>
        <v>0.03</v>
      </c>
      <c r="BH28" s="956">
        <f t="shared" si="96"/>
        <v>1.35</v>
      </c>
      <c r="BI28" s="956">
        <f t="shared" si="97"/>
        <v>1.08</v>
      </c>
      <c r="BJ28" s="956">
        <f t="shared" si="98"/>
        <v>0</v>
      </c>
      <c r="BK28" s="956">
        <f t="shared" si="99"/>
        <v>1.08</v>
      </c>
      <c r="BL28" s="956">
        <f t="shared" si="100"/>
        <v>0</v>
      </c>
      <c r="BM28" s="1141">
        <f t="shared" si="101"/>
        <v>102.30030643513774</v>
      </c>
      <c r="BN28" s="1142">
        <f t="shared" si="102"/>
        <v>0.68291675845057809</v>
      </c>
      <c r="BO28" s="1143">
        <f t="shared" si="103"/>
        <v>0.43227500000000002</v>
      </c>
      <c r="BP28" s="1144">
        <f t="shared" si="104"/>
        <v>1</v>
      </c>
      <c r="BQ28" s="1134">
        <f t="shared" si="105"/>
        <v>0.9</v>
      </c>
      <c r="BR28" s="1145" t="str">
        <f t="shared" si="106"/>
        <v>.</v>
      </c>
      <c r="BS28" s="1146" t="e">
        <f t="shared" si="107"/>
        <v>#VALUE!</v>
      </c>
      <c r="BT28" s="1147">
        <f>VLOOKUP(AP28,'CROP FACTORS'!$C$5:$N$130,7,FALSE)</f>
        <v>5.5</v>
      </c>
      <c r="BU28" s="1148">
        <f>VLOOKUP(AP28,'CROP FACTORS'!$C$5:$P$130,8,FALSE)</f>
        <v>1</v>
      </c>
      <c r="BV28" s="1149">
        <f t="shared" si="108"/>
        <v>4.3014000000000001</v>
      </c>
      <c r="BW28" s="1150">
        <f t="shared" si="109"/>
        <v>0.48757020922055722</v>
      </c>
      <c r="BX28" s="1137">
        <v>13</v>
      </c>
      <c r="BY28" s="1138">
        <f t="shared" si="110"/>
        <v>88.484687800000074</v>
      </c>
      <c r="BZ28" s="956">
        <f t="shared" si="111"/>
        <v>0.01</v>
      </c>
      <c r="CA28" s="956">
        <f t="shared" si="112"/>
        <v>0.99</v>
      </c>
      <c r="CB28" s="1148">
        <f t="shared" si="113"/>
        <v>89.369446193312271</v>
      </c>
      <c r="CC28" s="1148">
        <f t="shared" si="114"/>
        <v>88.475839331220072</v>
      </c>
      <c r="CD28" s="956">
        <f t="shared" si="115"/>
        <v>140</v>
      </c>
      <c r="CE28" s="956">
        <f t="shared" si="116"/>
        <v>90000</v>
      </c>
      <c r="CF28" s="956">
        <f t="shared" si="117"/>
        <v>1</v>
      </c>
      <c r="CG28" s="956">
        <f t="shared" si="118"/>
        <v>0.02</v>
      </c>
      <c r="CH28" s="956">
        <f t="shared" si="119"/>
        <v>90909</v>
      </c>
      <c r="CI28" s="956">
        <f t="shared" si="120"/>
        <v>91800</v>
      </c>
      <c r="CJ28" s="1138">
        <f t="shared" si="121"/>
        <v>1.25</v>
      </c>
      <c r="CK28" s="1138">
        <f t="shared" si="122"/>
        <v>2.1</v>
      </c>
      <c r="CL28" s="1138">
        <f t="shared" si="123"/>
        <v>1.25</v>
      </c>
      <c r="CM28" s="1138">
        <f t="shared" si="124"/>
        <v>1.25</v>
      </c>
      <c r="CN28" s="1151">
        <f t="shared" si="125"/>
        <v>2.8</v>
      </c>
      <c r="CO28" s="1138">
        <f t="shared" si="126"/>
        <v>0.34089753935209471</v>
      </c>
      <c r="CP28" s="1138">
        <f t="shared" si="127"/>
        <v>0.34315904733653285</v>
      </c>
      <c r="CQ28" s="1152">
        <f t="shared" si="128"/>
        <v>0.34089753935209471</v>
      </c>
      <c r="CR28" s="1153">
        <f t="shared" si="129"/>
        <v>0.34315904733653285</v>
      </c>
      <c r="CS28" s="1137">
        <f t="shared" si="130"/>
        <v>0.79400000000000004</v>
      </c>
      <c r="CT28" s="956">
        <f t="shared" si="131"/>
        <v>88.025000000000006</v>
      </c>
      <c r="CU28" s="956">
        <f t="shared" si="132"/>
        <v>-12.061</v>
      </c>
      <c r="CV28" s="956">
        <f t="shared" si="133"/>
        <v>0</v>
      </c>
      <c r="CW28" s="956">
        <f t="shared" si="134"/>
        <v>9.3587152000000007</v>
      </c>
      <c r="CX28" s="956">
        <f t="shared" si="135"/>
        <v>-10.275524000000001</v>
      </c>
      <c r="CY28" s="1154">
        <f t="shared" si="136"/>
        <v>1.5722585330428467</v>
      </c>
      <c r="CZ28" s="1155">
        <f t="shared" si="137"/>
        <v>0.44843336395311229</v>
      </c>
      <c r="DA28" s="1137" t="e">
        <f>MIN(VLOOKUP(AP28,'CROP FACTORS'!$C$5:$N$130,2,FALSE),VLOOKUP(AQ28,'CROP FACTORS'!$C$5:$N$130,2,FALSE))</f>
        <v>#N/A</v>
      </c>
      <c r="DB28" s="956" t="e">
        <f>MIN(VLOOKUP(AP28,'CROP FACTORS'!$C$5:$N$130,4,FALSE),VLOOKUP(AQ28,'CROP FACTORS'!$C$5:$N$130,4,FALSE))</f>
        <v>#N/A</v>
      </c>
      <c r="DC28" s="1156" t="e">
        <f t="shared" si="138"/>
        <v>#N/A</v>
      </c>
      <c r="DD28" s="1138">
        <f t="shared" si="139"/>
        <v>1.07</v>
      </c>
      <c r="DE28" s="1157" t="str">
        <f t="shared" si="140"/>
        <v>.</v>
      </c>
      <c r="DF28" s="1138" t="e">
        <f t="shared" si="141"/>
        <v>#N/A</v>
      </c>
      <c r="DG28" s="1158" t="e">
        <f t="shared" si="142"/>
        <v>#N/A</v>
      </c>
      <c r="DH28" s="1159" t="str">
        <f t="shared" si="143"/>
        <v>.</v>
      </c>
      <c r="DI28" s="1153" t="e">
        <f t="shared" si="144"/>
        <v>#VALUE!</v>
      </c>
      <c r="DJ28" s="1133">
        <f t="shared" si="145"/>
        <v>5.8</v>
      </c>
      <c r="DK28" s="1160">
        <f t="shared" si="146"/>
        <v>2.9</v>
      </c>
      <c r="DL28" s="1134">
        <f t="shared" si="147"/>
        <v>2.1</v>
      </c>
      <c r="DM28" s="1161">
        <f t="shared" si="148"/>
        <v>40.889084441569999</v>
      </c>
      <c r="DN28" s="1144">
        <f t="shared" si="149"/>
        <v>52.142000000000003</v>
      </c>
      <c r="DO28" s="1162">
        <f t="shared" si="150"/>
        <v>0.14985138160425246</v>
      </c>
      <c r="DP28" s="1163">
        <f t="shared" si="151"/>
        <v>0.14985138160425246</v>
      </c>
      <c r="DQ28" s="1133">
        <f t="shared" si="152"/>
        <v>1.0541</v>
      </c>
      <c r="DR28" s="1134">
        <f t="shared" si="153"/>
        <v>-9.8099999999999993E-3</v>
      </c>
      <c r="DS28" s="1164">
        <f t="shared" si="154"/>
        <v>21.114000000000001</v>
      </c>
      <c r="DT28" s="1146">
        <f t="shared" si="155"/>
        <v>0.19720596778551522</v>
      </c>
      <c r="DU28" s="1165">
        <f t="shared" si="156"/>
        <v>0.83446701587652938</v>
      </c>
      <c r="DV28" s="1166">
        <f t="shared" si="157"/>
        <v>1</v>
      </c>
      <c r="DW28" s="1166">
        <f t="shared" si="158"/>
        <v>0.68291675845057809</v>
      </c>
      <c r="DX28" s="1166"/>
      <c r="DY28" s="1166">
        <f t="shared" si="159"/>
        <v>0.48757020922055722</v>
      </c>
      <c r="DZ28" s="1166">
        <f t="shared" si="160"/>
        <v>0.34089753935209471</v>
      </c>
      <c r="EA28" s="1138"/>
      <c r="EB28" s="1166">
        <f t="shared" si="161"/>
        <v>0.44843336395311229</v>
      </c>
      <c r="EC28" s="1166"/>
      <c r="ED28" s="1138"/>
      <c r="EE28" s="1166">
        <f t="shared" si="162"/>
        <v>0.14985138160425246</v>
      </c>
      <c r="EF28" s="1140">
        <f t="shared" si="163"/>
        <v>0.19720596778551522</v>
      </c>
      <c r="EG28" s="1159">
        <f t="shared" si="164"/>
        <v>4.1413422362426395</v>
      </c>
      <c r="EH28" s="1167">
        <f t="shared" si="165"/>
        <v>8</v>
      </c>
      <c r="EI28" s="1150">
        <f t="shared" si="166"/>
        <v>0.51766777953032994</v>
      </c>
      <c r="EJ28" s="1168">
        <f t="shared" si="167"/>
        <v>1.4484333639531122</v>
      </c>
      <c r="EK28" s="1169">
        <f t="shared" si="168"/>
        <v>2</v>
      </c>
      <c r="EL28" s="1170">
        <f t="shared" si="169"/>
        <v>0.72421668197655609</v>
      </c>
      <c r="EM28" s="1159">
        <f t="shared" si="170"/>
        <v>0.48757020922055722</v>
      </c>
      <c r="EN28" s="1167">
        <f t="shared" si="171"/>
        <v>1</v>
      </c>
      <c r="EO28" s="1171">
        <f t="shared" si="172"/>
        <v>0.48757020922055722</v>
      </c>
      <c r="EP28" s="1168">
        <f t="shared" si="173"/>
        <v>1.6672351559313598</v>
      </c>
      <c r="EQ28" s="1169">
        <f t="shared" si="174"/>
        <v>3</v>
      </c>
      <c r="ER28" s="1146">
        <f t="shared" si="175"/>
        <v>0.55574505197711999</v>
      </c>
      <c r="ES28" s="1159">
        <f t="shared" si="176"/>
        <v>0.5381035071376099</v>
      </c>
      <c r="ET28" s="1167">
        <f t="shared" si="177"/>
        <v>2</v>
      </c>
      <c r="EU28" s="1155">
        <f t="shared" si="178"/>
        <v>0.26905175356880495</v>
      </c>
      <c r="EV28" s="1159">
        <f t="shared" si="179"/>
        <v>1.0256737163581671</v>
      </c>
      <c r="EW28" s="1167">
        <f t="shared" si="180"/>
        <v>3</v>
      </c>
      <c r="EX28" s="1155">
        <f t="shared" si="181"/>
        <v>0.34189123878605571</v>
      </c>
    </row>
    <row r="29" spans="2:154" s="1200" customFormat="1">
      <c r="B29" s="1218" t="s">
        <v>1263</v>
      </c>
      <c r="C29" s="1219">
        <v>1</v>
      </c>
      <c r="D29" s="1230" t="s">
        <v>1269</v>
      </c>
      <c r="E29" s="1230" t="s">
        <v>1270</v>
      </c>
      <c r="F29" s="1231" t="s">
        <v>1271</v>
      </c>
      <c r="P29" s="963"/>
      <c r="V29" s="1278">
        <v>35.4</v>
      </c>
      <c r="W29" s="1262">
        <v>1.03</v>
      </c>
      <c r="X29" s="1283">
        <v>60.399999999999984</v>
      </c>
      <c r="Y29" s="1272">
        <v>315.15076923076924</v>
      </c>
      <c r="Z29" s="1255" t="s">
        <v>1058</v>
      </c>
      <c r="AA29" s="1277">
        <v>5.5</v>
      </c>
      <c r="AB29" s="1261">
        <v>5.4</v>
      </c>
      <c r="AC29" s="1282">
        <v>1.2619767142221285</v>
      </c>
      <c r="AD29" s="1271" t="s">
        <v>1058</v>
      </c>
      <c r="AE29" s="1271" t="s">
        <v>1058</v>
      </c>
      <c r="AF29" s="1254">
        <v>45.963295454545452</v>
      </c>
      <c r="AG29" s="1282">
        <v>17.204000000000001</v>
      </c>
      <c r="AH29" s="1253">
        <v>4</v>
      </c>
      <c r="AI29" s="1253">
        <v>4</v>
      </c>
      <c r="AJ29" s="1253">
        <v>4</v>
      </c>
      <c r="AK29" s="1253">
        <v>1</v>
      </c>
      <c r="AL29" s="1253">
        <v>2</v>
      </c>
      <c r="AM29" s="1253">
        <v>2</v>
      </c>
      <c r="AN29" s="1253">
        <v>3</v>
      </c>
      <c r="AO29" s="1253">
        <v>2</v>
      </c>
      <c r="AP29" s="1253">
        <v>110</v>
      </c>
      <c r="AQ29" s="1253"/>
      <c r="AR29" s="1253">
        <v>2</v>
      </c>
      <c r="AS29" s="1253">
        <v>5</v>
      </c>
      <c r="AT29" s="1253">
        <v>2</v>
      </c>
      <c r="AU29" s="1253"/>
      <c r="AV29" s="1133">
        <f t="shared" si="84"/>
        <v>3.81</v>
      </c>
      <c r="AW29" s="1134">
        <f t="shared" si="85"/>
        <v>1.05</v>
      </c>
      <c r="AX29" s="1134">
        <f t="shared" si="86"/>
        <v>0.15</v>
      </c>
      <c r="AY29" s="1135">
        <f t="shared" si="87"/>
        <v>1.03</v>
      </c>
      <c r="AZ29" s="1136">
        <f t="shared" si="88"/>
        <v>0.69520582539133025</v>
      </c>
      <c r="BA29" s="1137">
        <f t="shared" si="89"/>
        <v>0.89993809999999996</v>
      </c>
      <c r="BB29" s="956">
        <f t="shared" si="90"/>
        <v>1.1599999999999999</v>
      </c>
      <c r="BC29" s="1138">
        <f t="shared" si="91"/>
        <v>1</v>
      </c>
      <c r="BD29" s="1139">
        <f t="shared" si="92"/>
        <v>60.399999999999984</v>
      </c>
      <c r="BE29" s="1138">
        <f t="shared" si="93"/>
        <v>0.98871777930104809</v>
      </c>
      <c r="BF29" s="1140">
        <f t="shared" si="94"/>
        <v>1</v>
      </c>
      <c r="BG29" s="1137">
        <f t="shared" si="95"/>
        <v>0.03</v>
      </c>
      <c r="BH29" s="956">
        <f t="shared" si="96"/>
        <v>1</v>
      </c>
      <c r="BI29" s="956">
        <f t="shared" si="97"/>
        <v>1.08</v>
      </c>
      <c r="BJ29" s="956">
        <f t="shared" si="98"/>
        <v>0</v>
      </c>
      <c r="BK29" s="956">
        <f t="shared" si="99"/>
        <v>1.08</v>
      </c>
      <c r="BL29" s="956">
        <f t="shared" si="100"/>
        <v>0</v>
      </c>
      <c r="BM29" s="1141">
        <f t="shared" si="101"/>
        <v>315.15076923076924</v>
      </c>
      <c r="BN29" s="1142">
        <f t="shared" si="102"/>
        <v>0.99850402223454859</v>
      </c>
      <c r="BO29" s="1143">
        <f t="shared" si="103"/>
        <v>0.43227500000000002</v>
      </c>
      <c r="BP29" s="1144">
        <f t="shared" si="104"/>
        <v>0.9</v>
      </c>
      <c r="BQ29" s="1134">
        <f t="shared" si="105"/>
        <v>0.9</v>
      </c>
      <c r="BR29" s="1145" t="str">
        <f t="shared" si="106"/>
        <v>.</v>
      </c>
      <c r="BS29" s="1146" t="e">
        <f t="shared" si="107"/>
        <v>#VALUE!</v>
      </c>
      <c r="BT29" s="1147">
        <f>VLOOKUP(AP29,'CROP FACTORS'!$C$5:$N$130,7,FALSE)</f>
        <v>6</v>
      </c>
      <c r="BU29" s="1148">
        <f>VLOOKUP(AP29,'CROP FACTORS'!$C$5:$P$130,8,FALSE)</f>
        <v>1</v>
      </c>
      <c r="BV29" s="1149">
        <f t="shared" si="108"/>
        <v>5.5</v>
      </c>
      <c r="BW29" s="1150">
        <f t="shared" si="109"/>
        <v>0.88249690258459546</v>
      </c>
      <c r="BX29" s="1137">
        <f>VLOOKUP(AP29,'CROP FACTORS'!$C$5:$N$130,10,FALSE)</f>
        <v>16</v>
      </c>
      <c r="BY29" s="1138">
        <f t="shared" si="110"/>
        <v>170.02558720000002</v>
      </c>
      <c r="BZ29" s="956">
        <f t="shared" si="111"/>
        <v>0.01</v>
      </c>
      <c r="CA29" s="956">
        <f t="shared" si="112"/>
        <v>1.01</v>
      </c>
      <c r="CB29" s="1148">
        <f t="shared" si="113"/>
        <v>171.79436338364161</v>
      </c>
      <c r="CC29" s="1148">
        <f t="shared" si="114"/>
        <v>173.44310150272003</v>
      </c>
      <c r="CD29" s="956">
        <f t="shared" si="115"/>
        <v>140</v>
      </c>
      <c r="CE29" s="956">
        <f t="shared" si="116"/>
        <v>90000</v>
      </c>
      <c r="CF29" s="956">
        <f t="shared" si="117"/>
        <v>1.4</v>
      </c>
      <c r="CG29" s="956">
        <f t="shared" si="118"/>
        <v>0.02</v>
      </c>
      <c r="CH29" s="956">
        <f t="shared" si="119"/>
        <v>127297.79999999999</v>
      </c>
      <c r="CI29" s="956">
        <f t="shared" si="120"/>
        <v>128519.99999999999</v>
      </c>
      <c r="CJ29" s="1138">
        <f t="shared" si="121"/>
        <v>1.25</v>
      </c>
      <c r="CK29" s="1138">
        <f t="shared" si="122"/>
        <v>2.1</v>
      </c>
      <c r="CL29" s="1138">
        <f t="shared" si="123"/>
        <v>1.25</v>
      </c>
      <c r="CM29" s="1138">
        <f t="shared" si="124"/>
        <v>1.25</v>
      </c>
      <c r="CN29" s="1151">
        <f t="shared" si="125"/>
        <v>5.4</v>
      </c>
      <c r="CO29" s="1138">
        <f t="shared" si="126"/>
        <v>0.66750359384345859</v>
      </c>
      <c r="CP29" s="1138">
        <f t="shared" si="127"/>
        <v>0.6653803607141846</v>
      </c>
      <c r="CQ29" s="1152">
        <f t="shared" si="128"/>
        <v>0.66750359384345859</v>
      </c>
      <c r="CR29" s="1153">
        <f t="shared" si="129"/>
        <v>0.6653803607141846</v>
      </c>
      <c r="CS29" s="1137">
        <f t="shared" si="130"/>
        <v>0.79600000000000004</v>
      </c>
      <c r="CT29" s="956">
        <f t="shared" si="131"/>
        <v>16.945</v>
      </c>
      <c r="CU29" s="956">
        <f t="shared" si="132"/>
        <v>-10.79</v>
      </c>
      <c r="CV29" s="956">
        <f t="shared" si="133"/>
        <v>0</v>
      </c>
      <c r="CW29" s="956">
        <f t="shared" si="134"/>
        <v>9.3587152000000007</v>
      </c>
      <c r="CX29" s="956">
        <f t="shared" si="135"/>
        <v>-10.275524000000001</v>
      </c>
      <c r="CY29" s="1154">
        <f t="shared" si="136"/>
        <v>1.2619767142221285</v>
      </c>
      <c r="CZ29" s="1155">
        <f t="shared" si="137"/>
        <v>0.65607090376586197</v>
      </c>
      <c r="DA29" s="1137" t="e">
        <f>MIN(VLOOKUP(AP29,'CROP FACTORS'!$C$5:$N$130,2,FALSE),VLOOKUP(AQ29,'CROP FACTORS'!$C$5:$N$130,2,FALSE))</f>
        <v>#N/A</v>
      </c>
      <c r="DB29" s="956" t="e">
        <f>MIN(VLOOKUP(AP29,'CROP FACTORS'!$C$5:$N$130,4,FALSE),VLOOKUP(AQ29,'CROP FACTORS'!$C$5:$N$130,4,FALSE))</f>
        <v>#N/A</v>
      </c>
      <c r="DC29" s="1156" t="e">
        <f t="shared" si="138"/>
        <v>#N/A</v>
      </c>
      <c r="DD29" s="1138">
        <f t="shared" si="139"/>
        <v>1.22</v>
      </c>
      <c r="DE29" s="1157" t="str">
        <f t="shared" si="140"/>
        <v>.</v>
      </c>
      <c r="DF29" s="1138" t="e">
        <f t="shared" si="141"/>
        <v>#N/A</v>
      </c>
      <c r="DG29" s="1158" t="e">
        <f t="shared" si="142"/>
        <v>#N/A</v>
      </c>
      <c r="DH29" s="1159" t="str">
        <f t="shared" si="143"/>
        <v>.</v>
      </c>
      <c r="DI29" s="1153" t="e">
        <f t="shared" si="144"/>
        <v>#VALUE!</v>
      </c>
      <c r="DJ29" s="1133">
        <f t="shared" si="145"/>
        <v>5.8</v>
      </c>
      <c r="DK29" s="1160">
        <f t="shared" si="146"/>
        <v>2.7</v>
      </c>
      <c r="DL29" s="1134">
        <f t="shared" si="147"/>
        <v>2.1</v>
      </c>
      <c r="DM29" s="1161">
        <f t="shared" si="148"/>
        <v>45.963295454545452</v>
      </c>
      <c r="DN29" s="1144">
        <f t="shared" si="149"/>
        <v>48.546000000000006</v>
      </c>
      <c r="DO29" s="1162">
        <f t="shared" si="150"/>
        <v>0.16297058848751436</v>
      </c>
      <c r="DP29" s="1163">
        <f t="shared" si="151"/>
        <v>0.16297058848751436</v>
      </c>
      <c r="DQ29" s="1133">
        <f t="shared" si="152"/>
        <v>1.0745</v>
      </c>
      <c r="DR29" s="1134">
        <f t="shared" si="153"/>
        <v>-1.3429999999999999E-2</v>
      </c>
      <c r="DS29" s="1164">
        <f t="shared" si="154"/>
        <v>17.204000000000001</v>
      </c>
      <c r="DT29" s="1146">
        <f t="shared" si="155"/>
        <v>0.2216693475393216</v>
      </c>
      <c r="DU29" s="1165">
        <f t="shared" si="156"/>
        <v>0.69520582539133025</v>
      </c>
      <c r="DV29" s="1166">
        <f t="shared" si="157"/>
        <v>1</v>
      </c>
      <c r="DW29" s="1166">
        <f t="shared" si="158"/>
        <v>0.99850402223454859</v>
      </c>
      <c r="DX29" s="1166"/>
      <c r="DY29" s="1166">
        <f t="shared" si="159"/>
        <v>0.88249690258459546</v>
      </c>
      <c r="DZ29" s="1166">
        <f t="shared" si="160"/>
        <v>0.66750359384345859</v>
      </c>
      <c r="EA29" s="1138"/>
      <c r="EB29" s="1166">
        <f t="shared" si="161"/>
        <v>0.65607090376586197</v>
      </c>
      <c r="EC29" s="1166"/>
      <c r="ED29" s="1138"/>
      <c r="EE29" s="1166">
        <f t="shared" si="162"/>
        <v>0.16297058848751436</v>
      </c>
      <c r="EF29" s="1140">
        <f t="shared" si="163"/>
        <v>0.2216693475393216</v>
      </c>
      <c r="EG29" s="1159">
        <f t="shared" si="164"/>
        <v>5.2844211838466304</v>
      </c>
      <c r="EH29" s="1167">
        <f t="shared" si="165"/>
        <v>8</v>
      </c>
      <c r="EI29" s="1302">
        <f t="shared" si="166"/>
        <v>0.6605526479808288</v>
      </c>
      <c r="EJ29" s="1168">
        <f t="shared" si="167"/>
        <v>1.6560709037658619</v>
      </c>
      <c r="EK29" s="1169">
        <f t="shared" si="168"/>
        <v>2</v>
      </c>
      <c r="EL29" s="1170">
        <f t="shared" si="169"/>
        <v>0.82803545188293093</v>
      </c>
      <c r="EM29" s="1159">
        <f t="shared" si="170"/>
        <v>0.88249690258459546</v>
      </c>
      <c r="EN29" s="1167">
        <f t="shared" si="171"/>
        <v>1</v>
      </c>
      <c r="EO29" s="1171">
        <f t="shared" si="172"/>
        <v>0.88249690258459546</v>
      </c>
      <c r="EP29" s="1168">
        <f t="shared" si="173"/>
        <v>1.8566804361133933</v>
      </c>
      <c r="EQ29" s="1169">
        <f t="shared" si="174"/>
        <v>3</v>
      </c>
      <c r="ER29" s="1146">
        <f t="shared" si="175"/>
        <v>0.61889347870446443</v>
      </c>
      <c r="ES29" s="1159">
        <f t="shared" si="176"/>
        <v>0.88917294138278025</v>
      </c>
      <c r="ET29" s="1167">
        <f t="shared" si="177"/>
        <v>2</v>
      </c>
      <c r="EU29" s="1155">
        <f t="shared" si="178"/>
        <v>0.44458647069139012</v>
      </c>
      <c r="EV29" s="1159">
        <f t="shared" si="179"/>
        <v>1.7716698439673757</v>
      </c>
      <c r="EW29" s="1167">
        <f t="shared" si="180"/>
        <v>3</v>
      </c>
      <c r="EX29" s="1155">
        <f t="shared" si="181"/>
        <v>0.5905566146557919</v>
      </c>
    </row>
    <row r="30" spans="2:154" s="1200" customFormat="1">
      <c r="B30" s="1218" t="s">
        <v>1263</v>
      </c>
      <c r="C30" s="1219">
        <v>2</v>
      </c>
      <c r="D30" s="1230" t="s">
        <v>1269</v>
      </c>
      <c r="E30" s="1230" t="s">
        <v>1270</v>
      </c>
      <c r="F30" s="1231" t="s">
        <v>1271</v>
      </c>
      <c r="P30" s="963"/>
      <c r="V30" s="1278">
        <v>37.799999999999997</v>
      </c>
      <c r="W30" s="1262">
        <v>1.17</v>
      </c>
      <c r="X30" s="1283">
        <v>72.800000000000011</v>
      </c>
      <c r="Y30" s="1272">
        <v>393.15629017447191</v>
      </c>
      <c r="Z30" s="1255" t="s">
        <v>1058</v>
      </c>
      <c r="AA30" s="1277">
        <v>5.4077999999999999</v>
      </c>
      <c r="AB30" s="1261">
        <v>8.6</v>
      </c>
      <c r="AC30" s="1282">
        <v>1.1596039793380521</v>
      </c>
      <c r="AD30" s="1271" t="s">
        <v>1058</v>
      </c>
      <c r="AE30" s="1271" t="s">
        <v>1058</v>
      </c>
      <c r="AF30" s="1254">
        <v>54.059139672587953</v>
      </c>
      <c r="AG30" s="1282">
        <v>21.114000000000001</v>
      </c>
      <c r="AH30" s="1253">
        <v>4</v>
      </c>
      <c r="AI30" s="1253">
        <v>4</v>
      </c>
      <c r="AJ30" s="1253">
        <v>4</v>
      </c>
      <c r="AK30" s="1253">
        <v>1</v>
      </c>
      <c r="AL30" s="1253">
        <v>2</v>
      </c>
      <c r="AM30" s="1253">
        <v>2</v>
      </c>
      <c r="AN30" s="1253">
        <v>3</v>
      </c>
      <c r="AO30" s="1253">
        <v>2</v>
      </c>
      <c r="AP30" s="1253">
        <v>110</v>
      </c>
      <c r="AQ30" s="1253"/>
      <c r="AR30" s="1253">
        <v>2</v>
      </c>
      <c r="AS30" s="1253">
        <v>5</v>
      </c>
      <c r="AT30" s="1253">
        <v>2</v>
      </c>
      <c r="AU30" s="1253"/>
      <c r="AV30" s="1133">
        <f t="shared" si="84"/>
        <v>3.81</v>
      </c>
      <c r="AW30" s="1134">
        <f t="shared" si="85"/>
        <v>1.05</v>
      </c>
      <c r="AX30" s="1134">
        <f t="shared" si="86"/>
        <v>0.15</v>
      </c>
      <c r="AY30" s="1135">
        <f t="shared" si="87"/>
        <v>1.17</v>
      </c>
      <c r="AZ30" s="1136">
        <f t="shared" si="88"/>
        <v>0.81285237094279439</v>
      </c>
      <c r="BA30" s="1137">
        <f t="shared" si="89"/>
        <v>0.89993809999999996</v>
      </c>
      <c r="BB30" s="956">
        <f t="shared" si="90"/>
        <v>1.1599999999999999</v>
      </c>
      <c r="BC30" s="1138">
        <f t="shared" si="91"/>
        <v>1</v>
      </c>
      <c r="BD30" s="1139">
        <f t="shared" si="92"/>
        <v>72.800000000000011</v>
      </c>
      <c r="BE30" s="1138">
        <f t="shared" si="93"/>
        <v>0.87596897633243309</v>
      </c>
      <c r="BF30" s="1140">
        <f t="shared" si="94"/>
        <v>1</v>
      </c>
      <c r="BG30" s="1137">
        <f t="shared" si="95"/>
        <v>0.03</v>
      </c>
      <c r="BH30" s="956">
        <f t="shared" si="96"/>
        <v>1</v>
      </c>
      <c r="BI30" s="956">
        <f t="shared" si="97"/>
        <v>1.08</v>
      </c>
      <c r="BJ30" s="956">
        <f t="shared" si="98"/>
        <v>0</v>
      </c>
      <c r="BK30" s="956">
        <f t="shared" si="99"/>
        <v>1.08</v>
      </c>
      <c r="BL30" s="956">
        <f t="shared" si="100"/>
        <v>0</v>
      </c>
      <c r="BM30" s="1141">
        <f t="shared" si="101"/>
        <v>393.15629017447191</v>
      </c>
      <c r="BN30" s="1142">
        <f t="shared" si="102"/>
        <v>0.99988035442123124</v>
      </c>
      <c r="BO30" s="1143">
        <f t="shared" si="103"/>
        <v>0.43227500000000002</v>
      </c>
      <c r="BP30" s="1144">
        <f t="shared" si="104"/>
        <v>0.9</v>
      </c>
      <c r="BQ30" s="1134">
        <f t="shared" si="105"/>
        <v>0.9</v>
      </c>
      <c r="BR30" s="1145" t="str">
        <f t="shared" si="106"/>
        <v>.</v>
      </c>
      <c r="BS30" s="1146" t="e">
        <f t="shared" si="107"/>
        <v>#VALUE!</v>
      </c>
      <c r="BT30" s="1147">
        <f>VLOOKUP(AP30,'CROP FACTORS'!$C$5:$N$130,7,FALSE)</f>
        <v>6</v>
      </c>
      <c r="BU30" s="1148">
        <f>VLOOKUP(AP30,'CROP FACTORS'!$C$5:$P$130,8,FALSE)</f>
        <v>1</v>
      </c>
      <c r="BV30" s="1149">
        <f t="shared" si="108"/>
        <v>5.4077999999999999</v>
      </c>
      <c r="BW30" s="1150">
        <f t="shared" si="109"/>
        <v>0.83916290977418639</v>
      </c>
      <c r="BX30" s="1137">
        <f>VLOOKUP(AP30,'CROP FACTORS'!$C$5:$N$130,10,FALSE)</f>
        <v>16</v>
      </c>
      <c r="BY30" s="1138">
        <f t="shared" si="110"/>
        <v>170.02558720000002</v>
      </c>
      <c r="BZ30" s="956">
        <f t="shared" si="111"/>
        <v>0.01</v>
      </c>
      <c r="CA30" s="956">
        <f t="shared" si="112"/>
        <v>1.01</v>
      </c>
      <c r="CB30" s="1148">
        <f t="shared" si="113"/>
        <v>172.03477956394241</v>
      </c>
      <c r="CC30" s="1148">
        <f t="shared" si="114"/>
        <v>173.44310150272003</v>
      </c>
      <c r="CD30" s="956">
        <f t="shared" si="115"/>
        <v>140</v>
      </c>
      <c r="CE30" s="956">
        <f t="shared" si="116"/>
        <v>90000</v>
      </c>
      <c r="CF30" s="956">
        <f t="shared" si="117"/>
        <v>1.4</v>
      </c>
      <c r="CG30" s="956">
        <f t="shared" si="118"/>
        <v>0.02</v>
      </c>
      <c r="CH30" s="956">
        <f t="shared" si="119"/>
        <v>127474.2</v>
      </c>
      <c r="CI30" s="956">
        <f t="shared" si="120"/>
        <v>128519.99999999999</v>
      </c>
      <c r="CJ30" s="1138">
        <f t="shared" si="121"/>
        <v>1.25</v>
      </c>
      <c r="CK30" s="1138">
        <f t="shared" si="122"/>
        <v>2.1</v>
      </c>
      <c r="CL30" s="1138">
        <f t="shared" si="123"/>
        <v>1.25</v>
      </c>
      <c r="CM30" s="1138">
        <f t="shared" si="124"/>
        <v>1.25</v>
      </c>
      <c r="CN30" s="1151">
        <f t="shared" si="125"/>
        <v>8.6</v>
      </c>
      <c r="CO30" s="1138">
        <f t="shared" si="126"/>
        <v>0.89278650093115075</v>
      </c>
      <c r="CP30" s="1138">
        <f t="shared" si="127"/>
        <v>0.89200360995888184</v>
      </c>
      <c r="CQ30" s="1152">
        <f t="shared" si="128"/>
        <v>0.89278650093115075</v>
      </c>
      <c r="CR30" s="1153">
        <f t="shared" si="129"/>
        <v>0.89200360995888184</v>
      </c>
      <c r="CS30" s="1137">
        <f t="shared" si="130"/>
        <v>0.79600000000000004</v>
      </c>
      <c r="CT30" s="956">
        <f t="shared" si="131"/>
        <v>16.945</v>
      </c>
      <c r="CU30" s="956">
        <f t="shared" si="132"/>
        <v>-10.79</v>
      </c>
      <c r="CV30" s="956">
        <f t="shared" si="133"/>
        <v>0</v>
      </c>
      <c r="CW30" s="956">
        <f t="shared" si="134"/>
        <v>9.3587152000000007</v>
      </c>
      <c r="CX30" s="956">
        <f t="shared" si="135"/>
        <v>-10.275524000000001</v>
      </c>
      <c r="CY30" s="1154">
        <f t="shared" si="136"/>
        <v>1.1596039793380521</v>
      </c>
      <c r="CZ30" s="1155">
        <f t="shared" si="137"/>
        <v>0.89087127128000532</v>
      </c>
      <c r="DA30" s="1137" t="e">
        <f>MIN(VLOOKUP(AP30,'CROP FACTORS'!$C$5:$N$130,2,FALSE),VLOOKUP(AQ30,'CROP FACTORS'!$C$5:$N$130,2,FALSE))</f>
        <v>#N/A</v>
      </c>
      <c r="DB30" s="956" t="e">
        <f>MIN(VLOOKUP(AP30,'CROP FACTORS'!$C$5:$N$130,4,FALSE),VLOOKUP(AQ30,'CROP FACTORS'!$C$5:$N$130,4,FALSE))</f>
        <v>#N/A</v>
      </c>
      <c r="DC30" s="1156" t="e">
        <f t="shared" si="138"/>
        <v>#N/A</v>
      </c>
      <c r="DD30" s="1138">
        <f t="shared" si="139"/>
        <v>1.22</v>
      </c>
      <c r="DE30" s="1157" t="str">
        <f t="shared" si="140"/>
        <v>.</v>
      </c>
      <c r="DF30" s="1138" t="e">
        <f t="shared" si="141"/>
        <v>#N/A</v>
      </c>
      <c r="DG30" s="1158" t="e">
        <f t="shared" si="142"/>
        <v>#N/A</v>
      </c>
      <c r="DH30" s="1159" t="str">
        <f t="shared" si="143"/>
        <v>.</v>
      </c>
      <c r="DI30" s="1153" t="e">
        <f t="shared" si="144"/>
        <v>#VALUE!</v>
      </c>
      <c r="DJ30" s="1133">
        <f t="shared" si="145"/>
        <v>5.8</v>
      </c>
      <c r="DK30" s="1160">
        <f t="shared" si="146"/>
        <v>2.7</v>
      </c>
      <c r="DL30" s="1134">
        <f t="shared" si="147"/>
        <v>2.1</v>
      </c>
      <c r="DM30" s="1161">
        <f t="shared" si="148"/>
        <v>54.059139672587953</v>
      </c>
      <c r="DN30" s="1144">
        <f t="shared" si="149"/>
        <v>48.546000000000006</v>
      </c>
      <c r="DO30" s="1162">
        <f t="shared" si="150"/>
        <v>0.22402892488452672</v>
      </c>
      <c r="DP30" s="1163">
        <f t="shared" si="151"/>
        <v>0.22402892488452672</v>
      </c>
      <c r="DQ30" s="1133">
        <f t="shared" si="152"/>
        <v>1.0745</v>
      </c>
      <c r="DR30" s="1134">
        <f t="shared" si="153"/>
        <v>-1.3429999999999999E-2</v>
      </c>
      <c r="DS30" s="1164">
        <f t="shared" si="154"/>
        <v>21.114000000000001</v>
      </c>
      <c r="DT30" s="1146">
        <f t="shared" si="155"/>
        <v>0.26529709432834486</v>
      </c>
      <c r="DU30" s="1165">
        <f t="shared" si="156"/>
        <v>0.81285237094279439</v>
      </c>
      <c r="DV30" s="1166">
        <f t="shared" si="157"/>
        <v>1</v>
      </c>
      <c r="DW30" s="1166">
        <f t="shared" si="158"/>
        <v>0.99988035442123124</v>
      </c>
      <c r="DX30" s="1166"/>
      <c r="DY30" s="1166">
        <f t="shared" si="159"/>
        <v>0.83916290977418639</v>
      </c>
      <c r="DZ30" s="1166">
        <f t="shared" si="160"/>
        <v>0.89278650093115075</v>
      </c>
      <c r="EA30" s="1138"/>
      <c r="EB30" s="1166">
        <f t="shared" si="161"/>
        <v>0.89087127128000532</v>
      </c>
      <c r="EC30" s="1166"/>
      <c r="ED30" s="1138"/>
      <c r="EE30" s="1166">
        <f t="shared" si="162"/>
        <v>0.22402892488452672</v>
      </c>
      <c r="EF30" s="1140">
        <f t="shared" si="163"/>
        <v>0.26529709432834486</v>
      </c>
      <c r="EG30" s="1159">
        <f t="shared" si="164"/>
        <v>5.9248794265622395</v>
      </c>
      <c r="EH30" s="1167">
        <f t="shared" si="165"/>
        <v>8</v>
      </c>
      <c r="EI30" s="1302">
        <f t="shared" si="166"/>
        <v>0.74060992832027994</v>
      </c>
      <c r="EJ30" s="1168">
        <f t="shared" si="167"/>
        <v>1.8908712712800053</v>
      </c>
      <c r="EK30" s="1169">
        <f t="shared" si="168"/>
        <v>2</v>
      </c>
      <c r="EL30" s="1170">
        <f t="shared" si="169"/>
        <v>0.94543563564000266</v>
      </c>
      <c r="EM30" s="1159">
        <f t="shared" si="170"/>
        <v>0.83916290977418639</v>
      </c>
      <c r="EN30" s="1167">
        <f t="shared" si="171"/>
        <v>1</v>
      </c>
      <c r="EO30" s="1171">
        <f t="shared" si="172"/>
        <v>0.83916290977418639</v>
      </c>
      <c r="EP30" s="1168">
        <f t="shared" si="173"/>
        <v>2.0367616502485526</v>
      </c>
      <c r="EQ30" s="1169">
        <f t="shared" si="174"/>
        <v>3</v>
      </c>
      <c r="ER30" s="1146">
        <f t="shared" si="175"/>
        <v>0.6789205500828509</v>
      </c>
      <c r="ES30" s="1159">
        <f t="shared" si="176"/>
        <v>1.1580835952594957</v>
      </c>
      <c r="ET30" s="1167">
        <f t="shared" si="177"/>
        <v>2</v>
      </c>
      <c r="EU30" s="1155">
        <f t="shared" si="178"/>
        <v>0.57904179762974783</v>
      </c>
      <c r="EV30" s="1159">
        <f t="shared" si="179"/>
        <v>1.9972465050336821</v>
      </c>
      <c r="EW30" s="1167">
        <f t="shared" si="180"/>
        <v>3</v>
      </c>
      <c r="EX30" s="1155">
        <f t="shared" si="181"/>
        <v>0.66574883501122739</v>
      </c>
    </row>
    <row r="31" spans="2:154" s="1200" customFormat="1">
      <c r="B31" s="1218" t="s">
        <v>1263</v>
      </c>
      <c r="C31" s="1219">
        <v>3</v>
      </c>
      <c r="D31" s="1230" t="s">
        <v>1269</v>
      </c>
      <c r="E31" s="1230" t="s">
        <v>1270</v>
      </c>
      <c r="F31" s="1231" t="s">
        <v>1271</v>
      </c>
      <c r="P31" s="963"/>
      <c r="V31" s="1278">
        <v>35.5</v>
      </c>
      <c r="W31" s="1262">
        <v>1.1150000000000002</v>
      </c>
      <c r="X31" s="1283">
        <v>89.74</v>
      </c>
      <c r="Y31" s="1272">
        <v>376.34730538922156</v>
      </c>
      <c r="Z31" s="1255" t="s">
        <v>1058</v>
      </c>
      <c r="AA31" s="1277">
        <v>5.8688000000000002</v>
      </c>
      <c r="AB31" s="1261">
        <v>8.4</v>
      </c>
      <c r="AC31" s="1282">
        <v>1.3598987982289688</v>
      </c>
      <c r="AD31" s="1271" t="s">
        <v>1058</v>
      </c>
      <c r="AE31" s="1271" t="s">
        <v>1058</v>
      </c>
      <c r="AF31" s="1254">
        <v>54.955206572055722</v>
      </c>
      <c r="AG31" s="1282">
        <v>14.075999999999999</v>
      </c>
      <c r="AH31" s="1253">
        <v>4</v>
      </c>
      <c r="AI31" s="1253">
        <v>4</v>
      </c>
      <c r="AJ31" s="1253">
        <v>4</v>
      </c>
      <c r="AK31" s="1253">
        <v>1</v>
      </c>
      <c r="AL31" s="1253">
        <v>2</v>
      </c>
      <c r="AM31" s="1253">
        <v>2</v>
      </c>
      <c r="AN31" s="1253">
        <v>3</v>
      </c>
      <c r="AO31" s="1253">
        <v>2</v>
      </c>
      <c r="AP31" s="1253">
        <v>110</v>
      </c>
      <c r="AQ31" s="1253"/>
      <c r="AR31" s="1253">
        <v>2</v>
      </c>
      <c r="AS31" s="1253">
        <v>5</v>
      </c>
      <c r="AT31" s="1253">
        <v>2</v>
      </c>
      <c r="AU31" s="1253"/>
      <c r="AV31" s="1133">
        <f t="shared" si="84"/>
        <v>3.81</v>
      </c>
      <c r="AW31" s="1134">
        <f t="shared" si="85"/>
        <v>1.05</v>
      </c>
      <c r="AX31" s="1134">
        <f t="shared" si="86"/>
        <v>0.15</v>
      </c>
      <c r="AY31" s="1135">
        <f t="shared" si="87"/>
        <v>1.1150000000000002</v>
      </c>
      <c r="AZ31" s="1136">
        <f t="shared" si="88"/>
        <v>0.77129185303398362</v>
      </c>
      <c r="BA31" s="1137">
        <f t="shared" si="89"/>
        <v>0.89993809999999996</v>
      </c>
      <c r="BB31" s="956">
        <f t="shared" si="90"/>
        <v>1.1599999999999999</v>
      </c>
      <c r="BC31" s="1138">
        <f t="shared" si="91"/>
        <v>1</v>
      </c>
      <c r="BD31" s="1139">
        <f t="shared" si="92"/>
        <v>89.74</v>
      </c>
      <c r="BE31" s="1138">
        <f t="shared" si="93"/>
        <v>0.56566781138414168</v>
      </c>
      <c r="BF31" s="1140">
        <f t="shared" si="94"/>
        <v>1</v>
      </c>
      <c r="BG31" s="1137">
        <f t="shared" si="95"/>
        <v>0.03</v>
      </c>
      <c r="BH31" s="956">
        <f t="shared" si="96"/>
        <v>1</v>
      </c>
      <c r="BI31" s="956">
        <f t="shared" si="97"/>
        <v>1.08</v>
      </c>
      <c r="BJ31" s="956">
        <f t="shared" si="98"/>
        <v>0</v>
      </c>
      <c r="BK31" s="956">
        <f t="shared" si="99"/>
        <v>1.08</v>
      </c>
      <c r="BL31" s="956">
        <f t="shared" si="100"/>
        <v>0</v>
      </c>
      <c r="BM31" s="1141">
        <f t="shared" si="101"/>
        <v>376.34730538922156</v>
      </c>
      <c r="BN31" s="1142">
        <f t="shared" si="102"/>
        <v>0.99979375632519452</v>
      </c>
      <c r="BO31" s="1143">
        <f t="shared" si="103"/>
        <v>0.43227500000000002</v>
      </c>
      <c r="BP31" s="1144">
        <f t="shared" si="104"/>
        <v>0.9</v>
      </c>
      <c r="BQ31" s="1134">
        <f t="shared" si="105"/>
        <v>0.9</v>
      </c>
      <c r="BR31" s="1145" t="str">
        <f t="shared" si="106"/>
        <v>.</v>
      </c>
      <c r="BS31" s="1146" t="e">
        <f t="shared" si="107"/>
        <v>#VALUE!</v>
      </c>
      <c r="BT31" s="1147">
        <f>VLOOKUP(AP31,'CROP FACTORS'!$C$5:$N$130,7,FALSE)</f>
        <v>6</v>
      </c>
      <c r="BU31" s="1148">
        <f>VLOOKUP(AP31,'CROP FACTORS'!$C$5:$P$130,8,FALSE)</f>
        <v>1</v>
      </c>
      <c r="BV31" s="1149">
        <f t="shared" si="108"/>
        <v>5.8688000000000002</v>
      </c>
      <c r="BW31" s="1150">
        <f t="shared" si="109"/>
        <v>0.99143021178478641</v>
      </c>
      <c r="BX31" s="1137">
        <f>VLOOKUP(AP31,'CROP FACTORS'!$C$5:$N$130,10,FALSE)</f>
        <v>16</v>
      </c>
      <c r="BY31" s="1138">
        <f t="shared" si="110"/>
        <v>170.02558720000002</v>
      </c>
      <c r="BZ31" s="956">
        <f t="shared" si="111"/>
        <v>0.01</v>
      </c>
      <c r="CA31" s="956">
        <f t="shared" si="112"/>
        <v>1.01</v>
      </c>
      <c r="CB31" s="1148">
        <f t="shared" si="113"/>
        <v>171.94033035025282</v>
      </c>
      <c r="CC31" s="1148">
        <f t="shared" si="114"/>
        <v>173.44310150272003</v>
      </c>
      <c r="CD31" s="956">
        <f t="shared" si="115"/>
        <v>140</v>
      </c>
      <c r="CE31" s="956">
        <f t="shared" si="116"/>
        <v>90000</v>
      </c>
      <c r="CF31" s="956">
        <f t="shared" si="117"/>
        <v>1.4</v>
      </c>
      <c r="CG31" s="956">
        <f t="shared" si="118"/>
        <v>0.02</v>
      </c>
      <c r="CH31" s="956">
        <f t="shared" si="119"/>
        <v>127404.9</v>
      </c>
      <c r="CI31" s="956">
        <f t="shared" si="120"/>
        <v>128519.99999999999</v>
      </c>
      <c r="CJ31" s="1138">
        <f t="shared" si="121"/>
        <v>1.25</v>
      </c>
      <c r="CK31" s="1138">
        <f t="shared" si="122"/>
        <v>2.1</v>
      </c>
      <c r="CL31" s="1138">
        <f t="shared" si="123"/>
        <v>1.25</v>
      </c>
      <c r="CM31" s="1138">
        <f t="shared" si="124"/>
        <v>1.25</v>
      </c>
      <c r="CN31" s="1151">
        <f t="shared" si="125"/>
        <v>8.4</v>
      </c>
      <c r="CO31" s="1138">
        <f t="shared" si="126"/>
        <v>0.88575258212016239</v>
      </c>
      <c r="CP31" s="1138">
        <f t="shared" si="127"/>
        <v>0.88486901417666164</v>
      </c>
      <c r="CQ31" s="1152">
        <f t="shared" si="128"/>
        <v>0.88575258212016239</v>
      </c>
      <c r="CR31" s="1153">
        <f t="shared" si="129"/>
        <v>0.88486901417666164</v>
      </c>
      <c r="CS31" s="1137">
        <f t="shared" si="130"/>
        <v>0.79600000000000004</v>
      </c>
      <c r="CT31" s="956">
        <f t="shared" si="131"/>
        <v>16.945</v>
      </c>
      <c r="CU31" s="956">
        <f t="shared" si="132"/>
        <v>-10.79</v>
      </c>
      <c r="CV31" s="956">
        <f t="shared" si="133"/>
        <v>0</v>
      </c>
      <c r="CW31" s="956">
        <f t="shared" si="134"/>
        <v>9.3587152000000007</v>
      </c>
      <c r="CX31" s="956">
        <f t="shared" si="135"/>
        <v>-10.275524000000001</v>
      </c>
      <c r="CY31" s="1154">
        <f t="shared" si="136"/>
        <v>1.3598987982289688</v>
      </c>
      <c r="CZ31" s="1155">
        <f t="shared" si="137"/>
        <v>0.4591038011849744</v>
      </c>
      <c r="DA31" s="1137" t="e">
        <f>MIN(VLOOKUP(AP31,'CROP FACTORS'!$C$5:$N$130,2,FALSE),VLOOKUP(AQ31,'CROP FACTORS'!$C$5:$N$130,2,FALSE))</f>
        <v>#N/A</v>
      </c>
      <c r="DB31" s="956" t="e">
        <f>MIN(VLOOKUP(AP31,'CROP FACTORS'!$C$5:$N$130,4,FALSE),VLOOKUP(AQ31,'CROP FACTORS'!$C$5:$N$130,4,FALSE))</f>
        <v>#N/A</v>
      </c>
      <c r="DC31" s="1156" t="e">
        <f t="shared" si="138"/>
        <v>#N/A</v>
      </c>
      <c r="DD31" s="1138">
        <f t="shared" si="139"/>
        <v>1.22</v>
      </c>
      <c r="DE31" s="1157" t="str">
        <f t="shared" si="140"/>
        <v>.</v>
      </c>
      <c r="DF31" s="1138" t="e">
        <f t="shared" si="141"/>
        <v>#N/A</v>
      </c>
      <c r="DG31" s="1158" t="e">
        <f t="shared" si="142"/>
        <v>#N/A</v>
      </c>
      <c r="DH31" s="1159" t="str">
        <f t="shared" si="143"/>
        <v>.</v>
      </c>
      <c r="DI31" s="1153" t="e">
        <f t="shared" si="144"/>
        <v>#VALUE!</v>
      </c>
      <c r="DJ31" s="1133">
        <f t="shared" si="145"/>
        <v>5.8</v>
      </c>
      <c r="DK31" s="1160">
        <f t="shared" si="146"/>
        <v>2.7</v>
      </c>
      <c r="DL31" s="1134">
        <f t="shared" si="147"/>
        <v>2.1</v>
      </c>
      <c r="DM31" s="1161">
        <f t="shared" si="148"/>
        <v>54.955206572055722</v>
      </c>
      <c r="DN31" s="1144">
        <f t="shared" si="149"/>
        <v>48.546000000000006</v>
      </c>
      <c r="DO31" s="1162">
        <f t="shared" si="150"/>
        <v>0.23170433282903583</v>
      </c>
      <c r="DP31" s="1163">
        <f t="shared" si="151"/>
        <v>0.23170433282903583</v>
      </c>
      <c r="DQ31" s="1133">
        <f t="shared" si="152"/>
        <v>1.0745</v>
      </c>
      <c r="DR31" s="1134">
        <f t="shared" si="153"/>
        <v>-1.3429999999999999E-2</v>
      </c>
      <c r="DS31" s="1164">
        <f t="shared" si="154"/>
        <v>14.075999999999999</v>
      </c>
      <c r="DT31" s="1146">
        <f t="shared" si="155"/>
        <v>0.18507958091510129</v>
      </c>
      <c r="DU31" s="1165">
        <f t="shared" si="156"/>
        <v>0.77129185303398362</v>
      </c>
      <c r="DV31" s="1166">
        <f t="shared" si="157"/>
        <v>1</v>
      </c>
      <c r="DW31" s="1166">
        <f t="shared" si="158"/>
        <v>0.99979375632519452</v>
      </c>
      <c r="DX31" s="1166"/>
      <c r="DY31" s="1166">
        <f t="shared" si="159"/>
        <v>0.99143021178478641</v>
      </c>
      <c r="DZ31" s="1166">
        <f t="shared" si="160"/>
        <v>0.88575258212016239</v>
      </c>
      <c r="EA31" s="1138"/>
      <c r="EB31" s="1166">
        <f t="shared" si="161"/>
        <v>0.4591038011849744</v>
      </c>
      <c r="EC31" s="1166"/>
      <c r="ED31" s="1138"/>
      <c r="EE31" s="1166">
        <f t="shared" si="162"/>
        <v>0.23170433282903583</v>
      </c>
      <c r="EF31" s="1140">
        <f t="shared" si="163"/>
        <v>0.18507958091510129</v>
      </c>
      <c r="EG31" s="1159">
        <f t="shared" si="164"/>
        <v>5.5241561181932379</v>
      </c>
      <c r="EH31" s="1167">
        <f t="shared" si="165"/>
        <v>8</v>
      </c>
      <c r="EI31" s="1302">
        <f t="shared" si="166"/>
        <v>0.69051951477415474</v>
      </c>
      <c r="EJ31" s="1168">
        <f t="shared" si="167"/>
        <v>1.4591038011849744</v>
      </c>
      <c r="EK31" s="1169">
        <f t="shared" si="168"/>
        <v>2</v>
      </c>
      <c r="EL31" s="1170">
        <f t="shared" si="169"/>
        <v>0.7295519005924872</v>
      </c>
      <c r="EM31" s="1159">
        <f t="shared" si="170"/>
        <v>0.99143021178478641</v>
      </c>
      <c r="EN31" s="1167">
        <f t="shared" si="171"/>
        <v>1</v>
      </c>
      <c r="EO31" s="1171">
        <f t="shared" si="172"/>
        <v>0.99143021178478641</v>
      </c>
      <c r="EP31" s="1168">
        <f t="shared" si="173"/>
        <v>2.002789942188214</v>
      </c>
      <c r="EQ31" s="1169">
        <f t="shared" si="174"/>
        <v>3</v>
      </c>
      <c r="ER31" s="1146">
        <f t="shared" si="175"/>
        <v>0.66759664739607139</v>
      </c>
      <c r="ES31" s="1159">
        <f t="shared" si="176"/>
        <v>1.0708321630352637</v>
      </c>
      <c r="ET31" s="1167">
        <f t="shared" si="177"/>
        <v>2</v>
      </c>
      <c r="EU31" s="1155">
        <f t="shared" si="178"/>
        <v>0.53541608151763187</v>
      </c>
      <c r="EV31" s="1159">
        <f t="shared" si="179"/>
        <v>2.0622623748200501</v>
      </c>
      <c r="EW31" s="1167">
        <f t="shared" si="180"/>
        <v>3</v>
      </c>
      <c r="EX31" s="1155">
        <f t="shared" si="181"/>
        <v>0.68742079160668335</v>
      </c>
    </row>
    <row r="32" spans="2:154" s="1200" customFormat="1">
      <c r="B32" s="1218" t="s">
        <v>1263</v>
      </c>
      <c r="C32" s="1219">
        <v>4</v>
      </c>
      <c r="D32" s="1230" t="s">
        <v>1269</v>
      </c>
      <c r="E32" s="1230" t="s">
        <v>1270</v>
      </c>
      <c r="F32" s="1231" t="s">
        <v>1271</v>
      </c>
      <c r="P32" s="963"/>
      <c r="V32" s="1278">
        <v>38</v>
      </c>
      <c r="W32" s="1262">
        <v>1.2949999999999999</v>
      </c>
      <c r="X32" s="1283">
        <v>73.94</v>
      </c>
      <c r="Y32" s="1272">
        <v>417.78329809725147</v>
      </c>
      <c r="Z32" s="1255" t="s">
        <v>1058</v>
      </c>
      <c r="AA32" s="1277">
        <v>5.5</v>
      </c>
      <c r="AB32" s="1261">
        <v>7.6</v>
      </c>
      <c r="AC32" s="1282">
        <v>1.6872818422470541</v>
      </c>
      <c r="AD32" s="1271" t="s">
        <v>1058</v>
      </c>
      <c r="AE32" s="1271" t="s">
        <v>1058</v>
      </c>
      <c r="AF32" s="1254">
        <v>33.231464260929904</v>
      </c>
      <c r="AG32" s="1282">
        <v>21.505000000000003</v>
      </c>
      <c r="AH32" s="1253">
        <v>4</v>
      </c>
      <c r="AI32" s="1253">
        <v>4</v>
      </c>
      <c r="AJ32" s="1253">
        <v>4</v>
      </c>
      <c r="AK32" s="1253">
        <v>1</v>
      </c>
      <c r="AL32" s="1253">
        <v>2</v>
      </c>
      <c r="AM32" s="1253">
        <v>2</v>
      </c>
      <c r="AN32" s="1253">
        <v>3</v>
      </c>
      <c r="AO32" s="1253">
        <v>2</v>
      </c>
      <c r="AP32" s="1253">
        <v>110</v>
      </c>
      <c r="AQ32" s="1253"/>
      <c r="AR32" s="1253">
        <v>2</v>
      </c>
      <c r="AS32" s="1253">
        <v>5</v>
      </c>
      <c r="AT32" s="1253">
        <v>2</v>
      </c>
      <c r="AU32" s="1253"/>
      <c r="AV32" s="1133">
        <f t="shared" si="84"/>
        <v>3.81</v>
      </c>
      <c r="AW32" s="1134">
        <f t="shared" si="85"/>
        <v>1.05</v>
      </c>
      <c r="AX32" s="1134">
        <f t="shared" si="86"/>
        <v>0.15</v>
      </c>
      <c r="AY32" s="1135">
        <f t="shared" si="87"/>
        <v>1.2949999999999999</v>
      </c>
      <c r="AZ32" s="1136">
        <f t="shared" si="88"/>
        <v>0.88531188725273935</v>
      </c>
      <c r="BA32" s="1137">
        <f t="shared" si="89"/>
        <v>0.89993809999999996</v>
      </c>
      <c r="BB32" s="956">
        <f t="shared" si="90"/>
        <v>1.1599999999999999</v>
      </c>
      <c r="BC32" s="1138">
        <f t="shared" si="91"/>
        <v>1</v>
      </c>
      <c r="BD32" s="1139">
        <f t="shared" si="92"/>
        <v>73.94</v>
      </c>
      <c r="BE32" s="1138">
        <f t="shared" si="93"/>
        <v>0.8605311582731866</v>
      </c>
      <c r="BF32" s="1140">
        <f t="shared" si="94"/>
        <v>1</v>
      </c>
      <c r="BG32" s="1137">
        <f t="shared" si="95"/>
        <v>0.03</v>
      </c>
      <c r="BH32" s="956">
        <f t="shared" si="96"/>
        <v>1</v>
      </c>
      <c r="BI32" s="956">
        <f t="shared" si="97"/>
        <v>1.08</v>
      </c>
      <c r="BJ32" s="956">
        <f t="shared" si="98"/>
        <v>0</v>
      </c>
      <c r="BK32" s="956">
        <f t="shared" si="99"/>
        <v>1.08</v>
      </c>
      <c r="BL32" s="956">
        <f t="shared" si="100"/>
        <v>0</v>
      </c>
      <c r="BM32" s="1141">
        <f t="shared" si="101"/>
        <v>417.78329809725147</v>
      </c>
      <c r="BN32" s="1142">
        <f t="shared" si="102"/>
        <v>0.99994612402849059</v>
      </c>
      <c r="BO32" s="1143">
        <f t="shared" si="103"/>
        <v>0.43227500000000002</v>
      </c>
      <c r="BP32" s="1144">
        <f t="shared" si="104"/>
        <v>0.9</v>
      </c>
      <c r="BQ32" s="1134">
        <f t="shared" si="105"/>
        <v>0.9</v>
      </c>
      <c r="BR32" s="1145" t="str">
        <f t="shared" si="106"/>
        <v>.</v>
      </c>
      <c r="BS32" s="1146" t="e">
        <f t="shared" si="107"/>
        <v>#VALUE!</v>
      </c>
      <c r="BT32" s="1147">
        <f>VLOOKUP(AP32,'CROP FACTORS'!$C$5:$N$130,7,FALSE)</f>
        <v>6</v>
      </c>
      <c r="BU32" s="1148">
        <f>VLOOKUP(AP32,'CROP FACTORS'!$C$5:$P$130,8,FALSE)</f>
        <v>1</v>
      </c>
      <c r="BV32" s="1149">
        <f t="shared" si="108"/>
        <v>5.5</v>
      </c>
      <c r="BW32" s="1150">
        <f t="shared" si="109"/>
        <v>0.88249690258459546</v>
      </c>
      <c r="BX32" s="1137">
        <f>VLOOKUP(AP32,'CROP FACTORS'!$C$5:$N$130,10,FALSE)</f>
        <v>16</v>
      </c>
      <c r="BY32" s="1138">
        <f t="shared" si="110"/>
        <v>170.02558720000002</v>
      </c>
      <c r="BZ32" s="956">
        <f t="shared" si="111"/>
        <v>0.01</v>
      </c>
      <c r="CA32" s="956">
        <f t="shared" si="112"/>
        <v>1.01</v>
      </c>
      <c r="CB32" s="1148">
        <f t="shared" si="113"/>
        <v>172.24943686778241</v>
      </c>
      <c r="CC32" s="1148">
        <f t="shared" si="114"/>
        <v>173.44310150272003</v>
      </c>
      <c r="CD32" s="956">
        <f t="shared" si="115"/>
        <v>140</v>
      </c>
      <c r="CE32" s="956">
        <f t="shared" si="116"/>
        <v>90000</v>
      </c>
      <c r="CF32" s="956">
        <f t="shared" si="117"/>
        <v>1.4</v>
      </c>
      <c r="CG32" s="956">
        <f t="shared" si="118"/>
        <v>0.02</v>
      </c>
      <c r="CH32" s="956">
        <f t="shared" si="119"/>
        <v>127631.7</v>
      </c>
      <c r="CI32" s="956">
        <f t="shared" si="120"/>
        <v>128519.99999999999</v>
      </c>
      <c r="CJ32" s="1138">
        <f t="shared" si="121"/>
        <v>1.25</v>
      </c>
      <c r="CK32" s="1138">
        <f t="shared" si="122"/>
        <v>2.1</v>
      </c>
      <c r="CL32" s="1138">
        <f t="shared" si="123"/>
        <v>1.25</v>
      </c>
      <c r="CM32" s="1138">
        <f t="shared" si="124"/>
        <v>1.25</v>
      </c>
      <c r="CN32" s="1151">
        <f t="shared" si="125"/>
        <v>7.6</v>
      </c>
      <c r="CO32" s="1138">
        <f t="shared" si="126"/>
        <v>0.8506896231874792</v>
      </c>
      <c r="CP32" s="1138">
        <f t="shared" si="127"/>
        <v>0.84981032576197268</v>
      </c>
      <c r="CQ32" s="1152">
        <f t="shared" si="128"/>
        <v>0.8506896231874792</v>
      </c>
      <c r="CR32" s="1153">
        <f t="shared" si="129"/>
        <v>0.84981032576197268</v>
      </c>
      <c r="CS32" s="1137">
        <f t="shared" si="130"/>
        <v>0.79600000000000004</v>
      </c>
      <c r="CT32" s="956">
        <f t="shared" si="131"/>
        <v>16.945</v>
      </c>
      <c r="CU32" s="956">
        <f t="shared" si="132"/>
        <v>-10.79</v>
      </c>
      <c r="CV32" s="956">
        <f t="shared" si="133"/>
        <v>0</v>
      </c>
      <c r="CW32" s="956">
        <f t="shared" si="134"/>
        <v>9.3587152000000007</v>
      </c>
      <c r="CX32" s="956">
        <f t="shared" si="135"/>
        <v>-10.275524000000001</v>
      </c>
      <c r="CY32" s="1154">
        <f t="shared" si="136"/>
        <v>1.6872818422470541</v>
      </c>
      <c r="CZ32" s="1155">
        <f t="shared" si="137"/>
        <v>0.23175073728444751</v>
      </c>
      <c r="DA32" s="1137" t="e">
        <f>MIN(VLOOKUP(AP32,'CROP FACTORS'!$C$5:$N$130,2,FALSE),VLOOKUP(AQ32,'CROP FACTORS'!$C$5:$N$130,2,FALSE))</f>
        <v>#N/A</v>
      </c>
      <c r="DB32" s="956" t="e">
        <f>MIN(VLOOKUP(AP32,'CROP FACTORS'!$C$5:$N$130,4,FALSE),VLOOKUP(AQ32,'CROP FACTORS'!$C$5:$N$130,4,FALSE))</f>
        <v>#N/A</v>
      </c>
      <c r="DC32" s="1156" t="e">
        <f t="shared" si="138"/>
        <v>#N/A</v>
      </c>
      <c r="DD32" s="1138">
        <f t="shared" si="139"/>
        <v>1.22</v>
      </c>
      <c r="DE32" s="1157" t="str">
        <f t="shared" si="140"/>
        <v>.</v>
      </c>
      <c r="DF32" s="1138" t="e">
        <f t="shared" si="141"/>
        <v>#N/A</v>
      </c>
      <c r="DG32" s="1158" t="e">
        <f t="shared" si="142"/>
        <v>#N/A</v>
      </c>
      <c r="DH32" s="1159" t="str">
        <f t="shared" si="143"/>
        <v>.</v>
      </c>
      <c r="DI32" s="1153" t="e">
        <f t="shared" si="144"/>
        <v>#VALUE!</v>
      </c>
      <c r="DJ32" s="1133">
        <f t="shared" si="145"/>
        <v>5.8</v>
      </c>
      <c r="DK32" s="1160">
        <f t="shared" si="146"/>
        <v>2.7</v>
      </c>
      <c r="DL32" s="1134">
        <f t="shared" si="147"/>
        <v>2.1</v>
      </c>
      <c r="DM32" s="1161">
        <f t="shared" si="148"/>
        <v>33.231464260929904</v>
      </c>
      <c r="DN32" s="1144">
        <f t="shared" si="149"/>
        <v>48.546000000000006</v>
      </c>
      <c r="DO32" s="1162">
        <f t="shared" si="150"/>
        <v>9.4896947091079473E-2</v>
      </c>
      <c r="DP32" s="1163">
        <f t="shared" si="151"/>
        <v>9.4896947091079473E-2</v>
      </c>
      <c r="DQ32" s="1133">
        <f t="shared" si="152"/>
        <v>1.0745</v>
      </c>
      <c r="DR32" s="1134">
        <f t="shared" si="153"/>
        <v>-1.3429999999999999E-2</v>
      </c>
      <c r="DS32" s="1164">
        <f t="shared" si="154"/>
        <v>21.505000000000003</v>
      </c>
      <c r="DT32" s="1146">
        <f t="shared" si="155"/>
        <v>0.26953518685644079</v>
      </c>
      <c r="DU32" s="1165">
        <f t="shared" si="156"/>
        <v>0.88531188725273935</v>
      </c>
      <c r="DV32" s="1166">
        <f t="shared" si="157"/>
        <v>1</v>
      </c>
      <c r="DW32" s="1166">
        <f t="shared" si="158"/>
        <v>0.99994612402849059</v>
      </c>
      <c r="DX32" s="1166"/>
      <c r="DY32" s="1166">
        <f t="shared" si="159"/>
        <v>0.88249690258459546</v>
      </c>
      <c r="DZ32" s="1166">
        <f t="shared" si="160"/>
        <v>0.8506896231874792</v>
      </c>
      <c r="EA32" s="1138"/>
      <c r="EB32" s="1166">
        <f t="shared" si="161"/>
        <v>0.23175073728444751</v>
      </c>
      <c r="EC32" s="1166"/>
      <c r="ED32" s="1138"/>
      <c r="EE32" s="1166">
        <f t="shared" si="162"/>
        <v>9.4896947091079473E-2</v>
      </c>
      <c r="EF32" s="1140">
        <f t="shared" si="163"/>
        <v>0.26953518685644079</v>
      </c>
      <c r="EG32" s="1159">
        <f t="shared" si="164"/>
        <v>5.2146274082852733</v>
      </c>
      <c r="EH32" s="1167">
        <f t="shared" si="165"/>
        <v>8</v>
      </c>
      <c r="EI32" s="1302">
        <f t="shared" si="166"/>
        <v>0.65182842603565916</v>
      </c>
      <c r="EJ32" s="1168">
        <f t="shared" si="167"/>
        <v>1.2317507372844476</v>
      </c>
      <c r="EK32" s="1169">
        <f t="shared" si="168"/>
        <v>2</v>
      </c>
      <c r="EL32" s="1170">
        <f t="shared" si="169"/>
        <v>0.61587536864222381</v>
      </c>
      <c r="EM32" s="1159">
        <f t="shared" si="170"/>
        <v>0.88249690258459546</v>
      </c>
      <c r="EN32" s="1167">
        <f t="shared" si="171"/>
        <v>1</v>
      </c>
      <c r="EO32" s="1171">
        <f t="shared" si="172"/>
        <v>0.88249690258459546</v>
      </c>
      <c r="EP32" s="1168">
        <f t="shared" si="173"/>
        <v>1.9801549583723095</v>
      </c>
      <c r="EQ32" s="1169">
        <f t="shared" si="174"/>
        <v>3</v>
      </c>
      <c r="ER32" s="1146">
        <f t="shared" si="175"/>
        <v>0.66005165279076983</v>
      </c>
      <c r="ES32" s="1159">
        <f t="shared" si="176"/>
        <v>1.12022481004392</v>
      </c>
      <c r="ET32" s="1167">
        <f t="shared" si="177"/>
        <v>2</v>
      </c>
      <c r="EU32" s="1155">
        <f t="shared" si="178"/>
        <v>0.56011240502196002</v>
      </c>
      <c r="EV32" s="1159">
        <f t="shared" si="179"/>
        <v>2.0027217126285155</v>
      </c>
      <c r="EW32" s="1167">
        <f t="shared" si="180"/>
        <v>3</v>
      </c>
      <c r="EX32" s="1155">
        <f t="shared" si="181"/>
        <v>0.66757390420950513</v>
      </c>
    </row>
    <row r="33" spans="2:154" s="1200" customFormat="1">
      <c r="B33" s="1218" t="s">
        <v>1263</v>
      </c>
      <c r="C33" s="1219">
        <v>5</v>
      </c>
      <c r="D33" s="1230" t="s">
        <v>1269</v>
      </c>
      <c r="E33" s="1230" t="s">
        <v>1270</v>
      </c>
      <c r="F33" s="1231" t="s">
        <v>1271</v>
      </c>
      <c r="P33" s="963"/>
      <c r="V33" s="1278">
        <v>35.4</v>
      </c>
      <c r="W33" s="1262">
        <v>1.03</v>
      </c>
      <c r="X33" s="1283">
        <v>84.64</v>
      </c>
      <c r="Y33" s="1272">
        <v>349.99209486166023</v>
      </c>
      <c r="Z33" s="1255" t="s">
        <v>1058</v>
      </c>
      <c r="AA33" s="1277">
        <v>5.5921999999999992</v>
      </c>
      <c r="AB33" s="1261">
        <v>4.8</v>
      </c>
      <c r="AC33" s="1282">
        <v>1.1074800290486564</v>
      </c>
      <c r="AD33" s="1271" t="s">
        <v>1058</v>
      </c>
      <c r="AE33" s="1271" t="s">
        <v>1058</v>
      </c>
      <c r="AF33" s="1254">
        <v>34.967316068913213</v>
      </c>
      <c r="AG33" s="1282">
        <v>28.933999999999997</v>
      </c>
      <c r="AH33" s="1253">
        <v>4</v>
      </c>
      <c r="AI33" s="1253">
        <v>4</v>
      </c>
      <c r="AJ33" s="1253">
        <v>4</v>
      </c>
      <c r="AK33" s="1253">
        <v>1</v>
      </c>
      <c r="AL33" s="1253">
        <v>2</v>
      </c>
      <c r="AM33" s="1253">
        <v>2</v>
      </c>
      <c r="AN33" s="1253">
        <v>3</v>
      </c>
      <c r="AO33" s="1253">
        <v>2</v>
      </c>
      <c r="AP33" s="1253">
        <v>110</v>
      </c>
      <c r="AQ33" s="1253"/>
      <c r="AR33" s="1253">
        <v>2</v>
      </c>
      <c r="AS33" s="1253">
        <v>5</v>
      </c>
      <c r="AT33" s="1253">
        <v>2</v>
      </c>
      <c r="AU33" s="1253"/>
      <c r="AV33" s="1133">
        <f t="shared" si="84"/>
        <v>3.81</v>
      </c>
      <c r="AW33" s="1134">
        <f t="shared" si="85"/>
        <v>1.05</v>
      </c>
      <c r="AX33" s="1134">
        <f t="shared" si="86"/>
        <v>0.15</v>
      </c>
      <c r="AY33" s="1135">
        <f t="shared" si="87"/>
        <v>1.03</v>
      </c>
      <c r="AZ33" s="1136">
        <f t="shared" si="88"/>
        <v>0.69520582539133025</v>
      </c>
      <c r="BA33" s="1137">
        <f t="shared" si="89"/>
        <v>0.89993809999999996</v>
      </c>
      <c r="BB33" s="956">
        <f t="shared" si="90"/>
        <v>1.1599999999999999</v>
      </c>
      <c r="BC33" s="1138">
        <f t="shared" si="91"/>
        <v>1</v>
      </c>
      <c r="BD33" s="1139">
        <f t="shared" si="92"/>
        <v>84.64</v>
      </c>
      <c r="BE33" s="1138">
        <f t="shared" si="93"/>
        <v>0.6766040563534218</v>
      </c>
      <c r="BF33" s="1140">
        <f t="shared" si="94"/>
        <v>1</v>
      </c>
      <c r="BG33" s="1137">
        <f t="shared" si="95"/>
        <v>0.03</v>
      </c>
      <c r="BH33" s="956">
        <f t="shared" si="96"/>
        <v>1</v>
      </c>
      <c r="BI33" s="956">
        <f t="shared" si="97"/>
        <v>1.08</v>
      </c>
      <c r="BJ33" s="956">
        <f t="shared" si="98"/>
        <v>0</v>
      </c>
      <c r="BK33" s="956">
        <f t="shared" si="99"/>
        <v>1.08</v>
      </c>
      <c r="BL33" s="956">
        <f t="shared" si="100"/>
        <v>0</v>
      </c>
      <c r="BM33" s="1141">
        <f t="shared" si="101"/>
        <v>349.99209486166023</v>
      </c>
      <c r="BN33" s="1142">
        <f t="shared" si="102"/>
        <v>0.99951570751435415</v>
      </c>
      <c r="BO33" s="1143">
        <f t="shared" si="103"/>
        <v>0.43227500000000002</v>
      </c>
      <c r="BP33" s="1144">
        <f t="shared" si="104"/>
        <v>0.9</v>
      </c>
      <c r="BQ33" s="1134">
        <f t="shared" si="105"/>
        <v>0.9</v>
      </c>
      <c r="BR33" s="1145" t="str">
        <f t="shared" si="106"/>
        <v>.</v>
      </c>
      <c r="BS33" s="1146" t="e">
        <f t="shared" si="107"/>
        <v>#VALUE!</v>
      </c>
      <c r="BT33" s="1147">
        <f>VLOOKUP(AP33,'CROP FACTORS'!$C$5:$N$130,7,FALSE)</f>
        <v>6</v>
      </c>
      <c r="BU33" s="1148">
        <f>VLOOKUP(AP33,'CROP FACTORS'!$C$5:$P$130,8,FALSE)</f>
        <v>1</v>
      </c>
      <c r="BV33" s="1149">
        <f t="shared" si="108"/>
        <v>5.5921999999999992</v>
      </c>
      <c r="BW33" s="1150">
        <f t="shared" si="109"/>
        <v>0.92021271841205121</v>
      </c>
      <c r="BX33" s="1137">
        <f>VLOOKUP(AP33,'CROP FACTORS'!$C$5:$N$130,10,FALSE)</f>
        <v>16</v>
      </c>
      <c r="BY33" s="1138">
        <f t="shared" si="110"/>
        <v>170.02558720000002</v>
      </c>
      <c r="BZ33" s="956">
        <f t="shared" si="111"/>
        <v>0.01</v>
      </c>
      <c r="CA33" s="956">
        <f t="shared" si="112"/>
        <v>1.01</v>
      </c>
      <c r="CB33" s="1148">
        <f t="shared" si="113"/>
        <v>171.79436338364161</v>
      </c>
      <c r="CC33" s="1148">
        <f t="shared" si="114"/>
        <v>173.44310150272003</v>
      </c>
      <c r="CD33" s="956">
        <f t="shared" si="115"/>
        <v>140</v>
      </c>
      <c r="CE33" s="956">
        <f t="shared" si="116"/>
        <v>90000</v>
      </c>
      <c r="CF33" s="956">
        <f t="shared" si="117"/>
        <v>1.4</v>
      </c>
      <c r="CG33" s="956">
        <f t="shared" si="118"/>
        <v>0.02</v>
      </c>
      <c r="CH33" s="956">
        <f t="shared" si="119"/>
        <v>127297.79999999999</v>
      </c>
      <c r="CI33" s="956">
        <f t="shared" si="120"/>
        <v>128519.99999999999</v>
      </c>
      <c r="CJ33" s="1138">
        <f t="shared" si="121"/>
        <v>1.25</v>
      </c>
      <c r="CK33" s="1138">
        <f t="shared" si="122"/>
        <v>2.1</v>
      </c>
      <c r="CL33" s="1138">
        <f t="shared" si="123"/>
        <v>1.25</v>
      </c>
      <c r="CM33" s="1138">
        <f t="shared" si="124"/>
        <v>1.25</v>
      </c>
      <c r="CN33" s="1151">
        <f t="shared" si="125"/>
        <v>4.8</v>
      </c>
      <c r="CO33" s="1138">
        <f t="shared" si="126"/>
        <v>0.58334047828743707</v>
      </c>
      <c r="CP33" s="1138">
        <f t="shared" si="127"/>
        <v>0.58101715237525797</v>
      </c>
      <c r="CQ33" s="1152">
        <f t="shared" si="128"/>
        <v>0.58334047828743707</v>
      </c>
      <c r="CR33" s="1153">
        <f t="shared" si="129"/>
        <v>0.58101715237525797</v>
      </c>
      <c r="CS33" s="1137">
        <f t="shared" si="130"/>
        <v>0.79600000000000004</v>
      </c>
      <c r="CT33" s="956">
        <f t="shared" si="131"/>
        <v>16.945</v>
      </c>
      <c r="CU33" s="956">
        <f t="shared" si="132"/>
        <v>-10.79</v>
      </c>
      <c r="CV33" s="956">
        <f t="shared" si="133"/>
        <v>0</v>
      </c>
      <c r="CW33" s="956">
        <f t="shared" si="134"/>
        <v>9.3587152000000007</v>
      </c>
      <c r="CX33" s="956">
        <f t="shared" si="135"/>
        <v>-10.275524000000001</v>
      </c>
      <c r="CY33" s="1154">
        <f t="shared" si="136"/>
        <v>1.1074800290486564</v>
      </c>
      <c r="CZ33" s="1155">
        <f t="shared" si="137"/>
        <v>0.9639953371853287</v>
      </c>
      <c r="DA33" s="1137" t="e">
        <f>MIN(VLOOKUP(AP33,'CROP FACTORS'!$C$5:$N$130,2,FALSE),VLOOKUP(AQ33,'CROP FACTORS'!$C$5:$N$130,2,FALSE))</f>
        <v>#N/A</v>
      </c>
      <c r="DB33" s="956" t="e">
        <f>MIN(VLOOKUP(AP33,'CROP FACTORS'!$C$5:$N$130,4,FALSE),VLOOKUP(AQ33,'CROP FACTORS'!$C$5:$N$130,4,FALSE))</f>
        <v>#N/A</v>
      </c>
      <c r="DC33" s="1156" t="e">
        <f t="shared" si="138"/>
        <v>#N/A</v>
      </c>
      <c r="DD33" s="1138">
        <f t="shared" si="139"/>
        <v>1.22</v>
      </c>
      <c r="DE33" s="1157" t="str">
        <f t="shared" si="140"/>
        <v>.</v>
      </c>
      <c r="DF33" s="1138" t="e">
        <f t="shared" si="141"/>
        <v>#N/A</v>
      </c>
      <c r="DG33" s="1158" t="e">
        <f t="shared" si="142"/>
        <v>#N/A</v>
      </c>
      <c r="DH33" s="1159" t="str">
        <f t="shared" si="143"/>
        <v>.</v>
      </c>
      <c r="DI33" s="1153" t="e">
        <f t="shared" si="144"/>
        <v>#VALUE!</v>
      </c>
      <c r="DJ33" s="1133">
        <f t="shared" si="145"/>
        <v>5.8</v>
      </c>
      <c r="DK33" s="1160">
        <f t="shared" si="146"/>
        <v>2.7</v>
      </c>
      <c r="DL33" s="1134">
        <f t="shared" si="147"/>
        <v>2.1</v>
      </c>
      <c r="DM33" s="1161">
        <f t="shared" si="148"/>
        <v>34.967316068913213</v>
      </c>
      <c r="DN33" s="1144">
        <f t="shared" si="149"/>
        <v>48.546000000000006</v>
      </c>
      <c r="DO33" s="1162">
        <f t="shared" si="150"/>
        <v>0.1023945298822798</v>
      </c>
      <c r="DP33" s="1163">
        <f t="shared" si="151"/>
        <v>0.1023945298822798</v>
      </c>
      <c r="DQ33" s="1133">
        <f t="shared" si="152"/>
        <v>1.0745</v>
      </c>
      <c r="DR33" s="1134">
        <f t="shared" si="153"/>
        <v>-1.3429999999999999E-2</v>
      </c>
      <c r="DS33" s="1164">
        <f t="shared" si="154"/>
        <v>28.933999999999997</v>
      </c>
      <c r="DT33" s="1146">
        <f t="shared" si="155"/>
        <v>0.3459712452116594</v>
      </c>
      <c r="DU33" s="1165">
        <f t="shared" si="156"/>
        <v>0.69520582539133025</v>
      </c>
      <c r="DV33" s="1166">
        <f t="shared" si="157"/>
        <v>1</v>
      </c>
      <c r="DW33" s="1166">
        <f t="shared" si="158"/>
        <v>0.99951570751435415</v>
      </c>
      <c r="DX33" s="1166"/>
      <c r="DY33" s="1166">
        <f t="shared" si="159"/>
        <v>0.92021271841205121</v>
      </c>
      <c r="DZ33" s="1166">
        <f t="shared" si="160"/>
        <v>0.58334047828743707</v>
      </c>
      <c r="EA33" s="1138"/>
      <c r="EB33" s="1166">
        <f t="shared" si="161"/>
        <v>0.9639953371853287</v>
      </c>
      <c r="EC33" s="1166"/>
      <c r="ED33" s="1138"/>
      <c r="EE33" s="1166">
        <f t="shared" si="162"/>
        <v>0.1023945298822798</v>
      </c>
      <c r="EF33" s="1140">
        <f t="shared" si="163"/>
        <v>0.3459712452116594</v>
      </c>
      <c r="EG33" s="1159">
        <f t="shared" si="164"/>
        <v>5.6106358418844406</v>
      </c>
      <c r="EH33" s="1167">
        <f t="shared" si="165"/>
        <v>8</v>
      </c>
      <c r="EI33" s="1302">
        <f t="shared" si="166"/>
        <v>0.70132948023555508</v>
      </c>
      <c r="EJ33" s="1168">
        <f t="shared" si="167"/>
        <v>1.9639953371853287</v>
      </c>
      <c r="EK33" s="1169">
        <f t="shared" si="168"/>
        <v>2</v>
      </c>
      <c r="EL33" s="1170">
        <f t="shared" si="169"/>
        <v>0.98199766859266435</v>
      </c>
      <c r="EM33" s="1159">
        <f t="shared" si="170"/>
        <v>0.92021271841205121</v>
      </c>
      <c r="EN33" s="1167">
        <f t="shared" si="171"/>
        <v>1</v>
      </c>
      <c r="EO33" s="1171">
        <f t="shared" si="172"/>
        <v>0.92021271841205121</v>
      </c>
      <c r="EP33" s="1168">
        <f t="shared" si="173"/>
        <v>1.7971160627879641</v>
      </c>
      <c r="EQ33" s="1169">
        <f t="shared" si="174"/>
        <v>3</v>
      </c>
      <c r="ER33" s="1146">
        <f t="shared" si="175"/>
        <v>0.599038687595988</v>
      </c>
      <c r="ES33" s="1159">
        <f t="shared" si="176"/>
        <v>0.92931172349909641</v>
      </c>
      <c r="ET33" s="1167">
        <f t="shared" si="177"/>
        <v>2</v>
      </c>
      <c r="EU33" s="1155">
        <f t="shared" si="178"/>
        <v>0.4646558617495482</v>
      </c>
      <c r="EV33" s="1159">
        <f t="shared" si="179"/>
        <v>1.8495244419111476</v>
      </c>
      <c r="EW33" s="1167">
        <f t="shared" si="180"/>
        <v>3</v>
      </c>
      <c r="EX33" s="1155">
        <f t="shared" si="181"/>
        <v>0.61650814730371584</v>
      </c>
    </row>
    <row r="34" spans="2:154" s="1200" customFormat="1">
      <c r="B34" s="1218" t="s">
        <v>1263</v>
      </c>
      <c r="C34" s="1219">
        <v>6</v>
      </c>
      <c r="D34" s="1230" t="s">
        <v>1269</v>
      </c>
      <c r="E34" s="1230" t="s">
        <v>1270</v>
      </c>
      <c r="F34" s="1231" t="s">
        <v>1271</v>
      </c>
      <c r="P34" s="963"/>
      <c r="V34" s="1278">
        <v>32.799999999999997</v>
      </c>
      <c r="W34" s="1262">
        <v>1.0649999999999999</v>
      </c>
      <c r="X34" s="1283">
        <v>72.099999999999994</v>
      </c>
      <c r="Y34" s="1272">
        <v>330.22082897944966</v>
      </c>
      <c r="Z34" s="1255" t="s">
        <v>1058</v>
      </c>
      <c r="AA34" s="1277">
        <v>5.4077999999999999</v>
      </c>
      <c r="AB34" s="1261">
        <v>4.8</v>
      </c>
      <c r="AC34" s="1282">
        <v>1.251801196727317</v>
      </c>
      <c r="AD34" s="1271" t="s">
        <v>1058</v>
      </c>
      <c r="AE34" s="1271" t="s">
        <v>1058</v>
      </c>
      <c r="AF34" s="1254">
        <v>28.084532091900513</v>
      </c>
      <c r="AG34" s="1282">
        <v>37.144999999999996</v>
      </c>
      <c r="AH34" s="1253">
        <v>4</v>
      </c>
      <c r="AI34" s="1253">
        <v>4</v>
      </c>
      <c r="AJ34" s="1253">
        <v>4</v>
      </c>
      <c r="AK34" s="1253">
        <v>1</v>
      </c>
      <c r="AL34" s="1253">
        <v>2</v>
      </c>
      <c r="AM34" s="1253">
        <v>2</v>
      </c>
      <c r="AN34" s="1253">
        <v>3</v>
      </c>
      <c r="AO34" s="1253">
        <v>2</v>
      </c>
      <c r="AP34" s="1253">
        <v>110</v>
      </c>
      <c r="AQ34" s="1253"/>
      <c r="AR34" s="1253">
        <v>2</v>
      </c>
      <c r="AS34" s="1253">
        <v>5</v>
      </c>
      <c r="AT34" s="1253">
        <v>2</v>
      </c>
      <c r="AU34" s="1253"/>
      <c r="AV34" s="1133">
        <f t="shared" si="84"/>
        <v>3.81</v>
      </c>
      <c r="AW34" s="1134">
        <f t="shared" si="85"/>
        <v>1.05</v>
      </c>
      <c r="AX34" s="1134">
        <f t="shared" si="86"/>
        <v>0.15</v>
      </c>
      <c r="AY34" s="1135">
        <f t="shared" si="87"/>
        <v>1.0649999999999999</v>
      </c>
      <c r="AZ34" s="1136">
        <f t="shared" si="88"/>
        <v>0.7282162558268428</v>
      </c>
      <c r="BA34" s="1137">
        <f t="shared" si="89"/>
        <v>0.89993809999999996</v>
      </c>
      <c r="BB34" s="956">
        <f t="shared" si="90"/>
        <v>1.1599999999999999</v>
      </c>
      <c r="BC34" s="1138">
        <f t="shared" si="91"/>
        <v>1</v>
      </c>
      <c r="BD34" s="1139">
        <f t="shared" si="92"/>
        <v>72.099999999999994</v>
      </c>
      <c r="BE34" s="1138">
        <f t="shared" si="93"/>
        <v>0.88503592821858434</v>
      </c>
      <c r="BF34" s="1140">
        <f t="shared" si="94"/>
        <v>1</v>
      </c>
      <c r="BG34" s="1137">
        <f t="shared" si="95"/>
        <v>0.03</v>
      </c>
      <c r="BH34" s="956">
        <f t="shared" si="96"/>
        <v>1</v>
      </c>
      <c r="BI34" s="956">
        <f t="shared" si="97"/>
        <v>1.08</v>
      </c>
      <c r="BJ34" s="956">
        <f t="shared" si="98"/>
        <v>0</v>
      </c>
      <c r="BK34" s="956">
        <f t="shared" si="99"/>
        <v>1.08</v>
      </c>
      <c r="BL34" s="956">
        <f t="shared" si="100"/>
        <v>0</v>
      </c>
      <c r="BM34" s="1141">
        <f t="shared" si="101"/>
        <v>330.22082897944966</v>
      </c>
      <c r="BN34" s="1142">
        <f t="shared" si="102"/>
        <v>0.9990814067329149</v>
      </c>
      <c r="BO34" s="1143">
        <f t="shared" si="103"/>
        <v>0.43227500000000002</v>
      </c>
      <c r="BP34" s="1144">
        <f t="shared" si="104"/>
        <v>0.9</v>
      </c>
      <c r="BQ34" s="1134">
        <f t="shared" si="105"/>
        <v>0.9</v>
      </c>
      <c r="BR34" s="1145" t="str">
        <f t="shared" si="106"/>
        <v>.</v>
      </c>
      <c r="BS34" s="1146" t="e">
        <f t="shared" si="107"/>
        <v>#VALUE!</v>
      </c>
      <c r="BT34" s="1147">
        <f>VLOOKUP(AP34,'CROP FACTORS'!$C$5:$N$130,7,FALSE)</f>
        <v>6</v>
      </c>
      <c r="BU34" s="1148">
        <f>VLOOKUP(AP34,'CROP FACTORS'!$C$5:$P$130,8,FALSE)</f>
        <v>1</v>
      </c>
      <c r="BV34" s="1149">
        <f t="shared" si="108"/>
        <v>5.4077999999999999</v>
      </c>
      <c r="BW34" s="1150">
        <f t="shared" si="109"/>
        <v>0.83916290977418639</v>
      </c>
      <c r="BX34" s="1137">
        <f>VLOOKUP(AP34,'CROP FACTORS'!$C$5:$N$130,10,FALSE)</f>
        <v>16</v>
      </c>
      <c r="BY34" s="1138">
        <f t="shared" si="110"/>
        <v>170.02558720000002</v>
      </c>
      <c r="BZ34" s="956">
        <f t="shared" si="111"/>
        <v>0.01</v>
      </c>
      <c r="CA34" s="956">
        <f t="shared" si="112"/>
        <v>1.01</v>
      </c>
      <c r="CB34" s="1148">
        <f t="shared" si="113"/>
        <v>171.85446742871682</v>
      </c>
      <c r="CC34" s="1148">
        <f t="shared" si="114"/>
        <v>173.44310150272003</v>
      </c>
      <c r="CD34" s="956">
        <f t="shared" si="115"/>
        <v>140</v>
      </c>
      <c r="CE34" s="956">
        <f t="shared" si="116"/>
        <v>90000</v>
      </c>
      <c r="CF34" s="956">
        <f t="shared" si="117"/>
        <v>1.4</v>
      </c>
      <c r="CG34" s="956">
        <f t="shared" si="118"/>
        <v>0.02</v>
      </c>
      <c r="CH34" s="956">
        <f t="shared" si="119"/>
        <v>127341.9</v>
      </c>
      <c r="CI34" s="956">
        <f t="shared" si="120"/>
        <v>128519.99999999999</v>
      </c>
      <c r="CJ34" s="1138">
        <f t="shared" si="121"/>
        <v>1.25</v>
      </c>
      <c r="CK34" s="1138">
        <f t="shared" si="122"/>
        <v>2.1</v>
      </c>
      <c r="CL34" s="1138">
        <f t="shared" si="123"/>
        <v>1.25</v>
      </c>
      <c r="CM34" s="1138">
        <f t="shared" si="124"/>
        <v>1.25</v>
      </c>
      <c r="CN34" s="1151">
        <f t="shared" si="125"/>
        <v>4.8</v>
      </c>
      <c r="CO34" s="1138">
        <f t="shared" si="126"/>
        <v>0.58325545614549223</v>
      </c>
      <c r="CP34" s="1138">
        <f t="shared" si="127"/>
        <v>0.58101715237525797</v>
      </c>
      <c r="CQ34" s="1152">
        <f t="shared" si="128"/>
        <v>0.58325545614549223</v>
      </c>
      <c r="CR34" s="1153">
        <f t="shared" si="129"/>
        <v>0.58101715237525797</v>
      </c>
      <c r="CS34" s="1137">
        <f t="shared" si="130"/>
        <v>0.79600000000000004</v>
      </c>
      <c r="CT34" s="956">
        <f t="shared" si="131"/>
        <v>16.945</v>
      </c>
      <c r="CU34" s="956">
        <f t="shared" si="132"/>
        <v>-10.79</v>
      </c>
      <c r="CV34" s="956">
        <f t="shared" si="133"/>
        <v>0</v>
      </c>
      <c r="CW34" s="956">
        <f t="shared" si="134"/>
        <v>9.3587152000000007</v>
      </c>
      <c r="CX34" s="956">
        <f t="shared" si="135"/>
        <v>-10.275524000000001</v>
      </c>
      <c r="CY34" s="1154">
        <f t="shared" si="136"/>
        <v>1.251801196727317</v>
      </c>
      <c r="CZ34" s="1155">
        <f t="shared" si="137"/>
        <v>0.68027578425695734</v>
      </c>
      <c r="DA34" s="1137" t="e">
        <f>MIN(VLOOKUP(AP34,'CROP FACTORS'!$C$5:$N$130,2,FALSE),VLOOKUP(AQ34,'CROP FACTORS'!$C$5:$N$130,2,FALSE))</f>
        <v>#N/A</v>
      </c>
      <c r="DB34" s="956" t="e">
        <f>MIN(VLOOKUP(AP34,'CROP FACTORS'!$C$5:$N$130,4,FALSE),VLOOKUP(AQ34,'CROP FACTORS'!$C$5:$N$130,4,FALSE))</f>
        <v>#N/A</v>
      </c>
      <c r="DC34" s="1156" t="e">
        <f t="shared" si="138"/>
        <v>#N/A</v>
      </c>
      <c r="DD34" s="1138">
        <f t="shared" si="139"/>
        <v>1.22</v>
      </c>
      <c r="DE34" s="1157" t="str">
        <f t="shared" si="140"/>
        <v>.</v>
      </c>
      <c r="DF34" s="1138" t="e">
        <f t="shared" si="141"/>
        <v>#N/A</v>
      </c>
      <c r="DG34" s="1158" t="e">
        <f t="shared" si="142"/>
        <v>#N/A</v>
      </c>
      <c r="DH34" s="1159" t="str">
        <f t="shared" si="143"/>
        <v>.</v>
      </c>
      <c r="DI34" s="1153" t="e">
        <f t="shared" si="144"/>
        <v>#VALUE!</v>
      </c>
      <c r="DJ34" s="1133">
        <f t="shared" si="145"/>
        <v>5.8</v>
      </c>
      <c r="DK34" s="1160">
        <f t="shared" si="146"/>
        <v>2.7</v>
      </c>
      <c r="DL34" s="1134">
        <f t="shared" si="147"/>
        <v>2.1</v>
      </c>
      <c r="DM34" s="1161">
        <f t="shared" si="148"/>
        <v>28.084532091900513</v>
      </c>
      <c r="DN34" s="1144">
        <f t="shared" si="149"/>
        <v>48.546000000000006</v>
      </c>
      <c r="DO34" s="1162">
        <f t="shared" si="150"/>
        <v>7.548399414358381E-2</v>
      </c>
      <c r="DP34" s="1163">
        <f t="shared" si="151"/>
        <v>7.548399414358381E-2</v>
      </c>
      <c r="DQ34" s="1133">
        <f t="shared" si="152"/>
        <v>1.0745</v>
      </c>
      <c r="DR34" s="1134">
        <f t="shared" si="153"/>
        <v>-1.3429999999999999E-2</v>
      </c>
      <c r="DS34" s="1164">
        <f t="shared" si="154"/>
        <v>37.144999999999996</v>
      </c>
      <c r="DT34" s="1146">
        <f t="shared" si="155"/>
        <v>0.42203769586815543</v>
      </c>
      <c r="DU34" s="1165">
        <f t="shared" si="156"/>
        <v>0.7282162558268428</v>
      </c>
      <c r="DV34" s="1166">
        <f t="shared" si="157"/>
        <v>1</v>
      </c>
      <c r="DW34" s="1166">
        <f t="shared" si="158"/>
        <v>0.9990814067329149</v>
      </c>
      <c r="DX34" s="1166"/>
      <c r="DY34" s="1166">
        <f t="shared" si="159"/>
        <v>0.83916290977418639</v>
      </c>
      <c r="DZ34" s="1166">
        <f t="shared" si="160"/>
        <v>0.58325545614549223</v>
      </c>
      <c r="EA34" s="1138"/>
      <c r="EB34" s="1166">
        <f t="shared" si="161"/>
        <v>0.68027578425695734</v>
      </c>
      <c r="EC34" s="1166"/>
      <c r="ED34" s="1138"/>
      <c r="EE34" s="1166">
        <f t="shared" si="162"/>
        <v>7.548399414358381E-2</v>
      </c>
      <c r="EF34" s="1140">
        <f t="shared" si="163"/>
        <v>0.42203769586815543</v>
      </c>
      <c r="EG34" s="1159">
        <f t="shared" si="164"/>
        <v>5.3275135027481326</v>
      </c>
      <c r="EH34" s="1167">
        <f t="shared" si="165"/>
        <v>8</v>
      </c>
      <c r="EI34" s="1302">
        <f t="shared" si="166"/>
        <v>0.66593918784351658</v>
      </c>
      <c r="EJ34" s="1168">
        <f t="shared" si="167"/>
        <v>1.6802757842569573</v>
      </c>
      <c r="EK34" s="1169">
        <f t="shared" si="168"/>
        <v>2</v>
      </c>
      <c r="EL34" s="1170">
        <f t="shared" si="169"/>
        <v>0.84013789212847867</v>
      </c>
      <c r="EM34" s="1159">
        <f t="shared" si="170"/>
        <v>0.83916290977418639</v>
      </c>
      <c r="EN34" s="1167">
        <f t="shared" si="171"/>
        <v>1</v>
      </c>
      <c r="EO34" s="1171">
        <f t="shared" si="172"/>
        <v>0.83916290977418639</v>
      </c>
      <c r="EP34" s="1168">
        <f t="shared" si="173"/>
        <v>1.8027816567033417</v>
      </c>
      <c r="EQ34" s="1169">
        <f t="shared" si="174"/>
        <v>3</v>
      </c>
      <c r="ER34" s="1146">
        <f t="shared" si="175"/>
        <v>0.60092721890111389</v>
      </c>
      <c r="ES34" s="1159">
        <f t="shared" si="176"/>
        <v>1.0052931520136477</v>
      </c>
      <c r="ET34" s="1167">
        <f t="shared" si="177"/>
        <v>2</v>
      </c>
      <c r="EU34" s="1155">
        <f t="shared" si="178"/>
        <v>0.50264657600682383</v>
      </c>
      <c r="EV34" s="1159">
        <f t="shared" si="179"/>
        <v>1.8444560617878341</v>
      </c>
      <c r="EW34" s="1167">
        <f t="shared" si="180"/>
        <v>3</v>
      </c>
      <c r="EX34" s="1155">
        <f t="shared" si="181"/>
        <v>0.61481868726261135</v>
      </c>
    </row>
    <row r="35" spans="2:154">
      <c r="B35" s="1218" t="s">
        <v>1263</v>
      </c>
      <c r="C35" s="1219">
        <v>7</v>
      </c>
      <c r="D35" s="1230" t="s">
        <v>1269</v>
      </c>
      <c r="E35" s="1230" t="s">
        <v>1270</v>
      </c>
      <c r="F35" s="1231" t="s">
        <v>1271</v>
      </c>
      <c r="V35" s="1278">
        <v>32.799999999999997</v>
      </c>
      <c r="W35" s="1262">
        <v>1.1150000000000002</v>
      </c>
      <c r="X35" s="1283">
        <v>69.780000000000015</v>
      </c>
      <c r="Y35" s="1272">
        <v>409.2440739775983</v>
      </c>
      <c r="Z35" s="1255" t="s">
        <v>1058</v>
      </c>
      <c r="AA35" s="1277">
        <v>5.4077999999999999</v>
      </c>
      <c r="AB35" s="1261">
        <v>8.6</v>
      </c>
      <c r="AC35" s="1282">
        <v>1.2975943338624985</v>
      </c>
      <c r="AD35" s="1271" t="s">
        <v>1058</v>
      </c>
      <c r="AE35" s="1271" t="s">
        <v>1058</v>
      </c>
      <c r="AF35" s="1254">
        <v>55.164686129178627</v>
      </c>
      <c r="AG35" s="1282">
        <v>29.716000000000001</v>
      </c>
      <c r="AH35" s="1253">
        <v>4</v>
      </c>
      <c r="AI35" s="1253">
        <v>4</v>
      </c>
      <c r="AJ35" s="1253">
        <v>4</v>
      </c>
      <c r="AK35" s="1253">
        <v>1</v>
      </c>
      <c r="AL35" s="1253">
        <v>2</v>
      </c>
      <c r="AM35" s="1253">
        <v>2</v>
      </c>
      <c r="AN35" s="1253">
        <v>3</v>
      </c>
      <c r="AO35" s="1253">
        <v>2</v>
      </c>
      <c r="AP35" s="1253">
        <v>110</v>
      </c>
      <c r="AQ35" s="1253"/>
      <c r="AR35" s="1253">
        <v>2</v>
      </c>
      <c r="AS35" s="1253">
        <v>5</v>
      </c>
      <c r="AT35" s="1253">
        <v>2</v>
      </c>
      <c r="AU35" s="1253"/>
      <c r="AV35" s="1133">
        <f t="shared" si="84"/>
        <v>3.81</v>
      </c>
      <c r="AW35" s="1134">
        <f t="shared" si="85"/>
        <v>1.05</v>
      </c>
      <c r="AX35" s="1134">
        <f t="shared" si="86"/>
        <v>0.15</v>
      </c>
      <c r="AY35" s="1135">
        <f t="shared" si="87"/>
        <v>1.1150000000000002</v>
      </c>
      <c r="AZ35" s="1136">
        <f t="shared" si="88"/>
        <v>0.77129185303398362</v>
      </c>
      <c r="BA35" s="1137">
        <f t="shared" si="89"/>
        <v>0.89993809999999996</v>
      </c>
      <c r="BB35" s="956">
        <f t="shared" si="90"/>
        <v>1.1599999999999999</v>
      </c>
      <c r="BC35" s="1138">
        <f t="shared" si="91"/>
        <v>1</v>
      </c>
      <c r="BD35" s="1139">
        <f t="shared" si="92"/>
        <v>69.780000000000015</v>
      </c>
      <c r="BE35" s="1138">
        <f t="shared" si="93"/>
        <v>0.9128191732125911</v>
      </c>
      <c r="BF35" s="1140">
        <f t="shared" si="94"/>
        <v>1</v>
      </c>
      <c r="BG35" s="1137">
        <f t="shared" si="95"/>
        <v>0.03</v>
      </c>
      <c r="BH35" s="956">
        <f t="shared" si="96"/>
        <v>1</v>
      </c>
      <c r="BI35" s="956">
        <f t="shared" si="97"/>
        <v>1.08</v>
      </c>
      <c r="BJ35" s="956">
        <f t="shared" si="98"/>
        <v>0</v>
      </c>
      <c r="BK35" s="956">
        <f t="shared" si="99"/>
        <v>1.08</v>
      </c>
      <c r="BL35" s="956">
        <f t="shared" si="100"/>
        <v>0</v>
      </c>
      <c r="BM35" s="1141">
        <f t="shared" si="101"/>
        <v>409.2440739775983</v>
      </c>
      <c r="BN35" s="1142">
        <f t="shared" si="102"/>
        <v>0.99992895323867015</v>
      </c>
      <c r="BO35" s="1143">
        <f t="shared" si="103"/>
        <v>0.43227500000000002</v>
      </c>
      <c r="BP35" s="1144">
        <f t="shared" si="104"/>
        <v>0.9</v>
      </c>
      <c r="BQ35" s="1134">
        <f t="shared" si="105"/>
        <v>0.9</v>
      </c>
      <c r="BR35" s="1145" t="str">
        <f t="shared" si="106"/>
        <v>.</v>
      </c>
      <c r="BS35" s="1146" t="e">
        <f t="shared" si="107"/>
        <v>#VALUE!</v>
      </c>
      <c r="BT35" s="1147">
        <f>VLOOKUP(AP35,'CROP FACTORS'!$C$5:$N$130,7,FALSE)</f>
        <v>6</v>
      </c>
      <c r="BU35" s="1148">
        <f>VLOOKUP(AP35,'CROP FACTORS'!$C$5:$P$130,8,FALSE)</f>
        <v>1</v>
      </c>
      <c r="BV35" s="1149">
        <f t="shared" si="108"/>
        <v>5.4077999999999999</v>
      </c>
      <c r="BW35" s="1150">
        <f t="shared" si="109"/>
        <v>0.83916290977418639</v>
      </c>
      <c r="BX35" s="1137">
        <f>VLOOKUP(AP35,'CROP FACTORS'!$C$5:$N$130,10,FALSE)</f>
        <v>16</v>
      </c>
      <c r="BY35" s="1138">
        <f t="shared" si="110"/>
        <v>170.02558720000002</v>
      </c>
      <c r="BZ35" s="956">
        <f t="shared" si="111"/>
        <v>0.01</v>
      </c>
      <c r="CA35" s="956">
        <f t="shared" si="112"/>
        <v>1.01</v>
      </c>
      <c r="CB35" s="1148">
        <f t="shared" si="113"/>
        <v>171.94033035025282</v>
      </c>
      <c r="CC35" s="1148">
        <f t="shared" si="114"/>
        <v>173.44310150272003</v>
      </c>
      <c r="CD35" s="956">
        <f t="shared" si="115"/>
        <v>140</v>
      </c>
      <c r="CE35" s="956">
        <f t="shared" si="116"/>
        <v>90000</v>
      </c>
      <c r="CF35" s="956">
        <f t="shared" si="117"/>
        <v>1.4</v>
      </c>
      <c r="CG35" s="956">
        <f t="shared" si="118"/>
        <v>0.02</v>
      </c>
      <c r="CH35" s="956">
        <f t="shared" si="119"/>
        <v>127404.9</v>
      </c>
      <c r="CI35" s="956">
        <f t="shared" si="120"/>
        <v>128519.99999999999</v>
      </c>
      <c r="CJ35" s="1138">
        <f t="shared" si="121"/>
        <v>1.25</v>
      </c>
      <c r="CK35" s="1138">
        <f t="shared" si="122"/>
        <v>2.1</v>
      </c>
      <c r="CL35" s="1138">
        <f t="shared" si="123"/>
        <v>1.25</v>
      </c>
      <c r="CM35" s="1138">
        <f t="shared" si="124"/>
        <v>1.25</v>
      </c>
      <c r="CN35" s="1151">
        <f t="shared" si="125"/>
        <v>8.6</v>
      </c>
      <c r="CO35" s="1138">
        <f t="shared" si="126"/>
        <v>0.89283905474740433</v>
      </c>
      <c r="CP35" s="1138">
        <f t="shared" si="127"/>
        <v>0.89200360995888184</v>
      </c>
      <c r="CQ35" s="1152">
        <f t="shared" si="128"/>
        <v>0.89283905474740433</v>
      </c>
      <c r="CR35" s="1153">
        <f t="shared" si="129"/>
        <v>0.89200360995888184</v>
      </c>
      <c r="CS35" s="1137">
        <f t="shared" si="130"/>
        <v>0.79600000000000004</v>
      </c>
      <c r="CT35" s="956">
        <f t="shared" si="131"/>
        <v>16.945</v>
      </c>
      <c r="CU35" s="956">
        <f t="shared" si="132"/>
        <v>-10.79</v>
      </c>
      <c r="CV35" s="956">
        <f t="shared" si="133"/>
        <v>0</v>
      </c>
      <c r="CW35" s="956">
        <f t="shared" si="134"/>
        <v>9.3587152000000007</v>
      </c>
      <c r="CX35" s="956">
        <f t="shared" si="135"/>
        <v>-10.275524000000001</v>
      </c>
      <c r="CY35" s="1154">
        <f t="shared" si="136"/>
        <v>1.2975943338624985</v>
      </c>
      <c r="CZ35" s="1155">
        <f t="shared" si="137"/>
        <v>0.57580725938651067</v>
      </c>
      <c r="DA35" s="1137" t="e">
        <f>MIN(VLOOKUP(AP35,'CROP FACTORS'!$C$5:$N$130,2,FALSE),VLOOKUP(AQ35,'CROP FACTORS'!$C$5:$N$130,2,FALSE))</f>
        <v>#N/A</v>
      </c>
      <c r="DB35" s="956" t="e">
        <f>MIN(VLOOKUP(AP35,'CROP FACTORS'!$C$5:$N$130,4,FALSE),VLOOKUP(AQ35,'CROP FACTORS'!$C$5:$N$130,4,FALSE))</f>
        <v>#N/A</v>
      </c>
      <c r="DC35" s="1156" t="e">
        <f t="shared" si="138"/>
        <v>#N/A</v>
      </c>
      <c r="DD35" s="1138">
        <f t="shared" si="139"/>
        <v>1.22</v>
      </c>
      <c r="DE35" s="1157" t="str">
        <f t="shared" si="140"/>
        <v>.</v>
      </c>
      <c r="DF35" s="1138" t="e">
        <f t="shared" si="141"/>
        <v>#N/A</v>
      </c>
      <c r="DG35" s="1158" t="e">
        <f t="shared" si="142"/>
        <v>#N/A</v>
      </c>
      <c r="DH35" s="1159" t="str">
        <f t="shared" si="143"/>
        <v>.</v>
      </c>
      <c r="DI35" s="1153" t="e">
        <f t="shared" si="144"/>
        <v>#VALUE!</v>
      </c>
      <c r="DJ35" s="1133">
        <f t="shared" si="145"/>
        <v>5.8</v>
      </c>
      <c r="DK35" s="1160">
        <f t="shared" si="146"/>
        <v>2.7</v>
      </c>
      <c r="DL35" s="1134">
        <f t="shared" si="147"/>
        <v>2.1</v>
      </c>
      <c r="DM35" s="1161">
        <f t="shared" si="148"/>
        <v>55.164686129178627</v>
      </c>
      <c r="DN35" s="1144">
        <f t="shared" si="149"/>
        <v>48.546000000000006</v>
      </c>
      <c r="DO35" s="1162">
        <f t="shared" si="150"/>
        <v>0.23352506241681642</v>
      </c>
      <c r="DP35" s="1163">
        <f t="shared" si="151"/>
        <v>0.23352506241681642</v>
      </c>
      <c r="DQ35" s="1133">
        <f t="shared" si="152"/>
        <v>1.0745</v>
      </c>
      <c r="DR35" s="1134">
        <f t="shared" si="153"/>
        <v>-1.3429999999999999E-2</v>
      </c>
      <c r="DS35" s="1164">
        <f t="shared" si="154"/>
        <v>29.716000000000001</v>
      </c>
      <c r="DT35" s="1146">
        <f t="shared" si="155"/>
        <v>0.35358240645725048</v>
      </c>
      <c r="DU35" s="1165">
        <f t="shared" si="156"/>
        <v>0.77129185303398362</v>
      </c>
      <c r="DV35" s="1166">
        <f t="shared" si="157"/>
        <v>1</v>
      </c>
      <c r="DW35" s="1166">
        <f t="shared" si="158"/>
        <v>0.99992895323867015</v>
      </c>
      <c r="DX35" s="1166"/>
      <c r="DY35" s="1166">
        <f t="shared" si="159"/>
        <v>0.83916290977418639</v>
      </c>
      <c r="DZ35" s="1166">
        <f t="shared" si="160"/>
        <v>0.89283905474740433</v>
      </c>
      <c r="EA35" s="1138"/>
      <c r="EB35" s="1166">
        <f t="shared" si="161"/>
        <v>0.57580725938651067</v>
      </c>
      <c r="EC35" s="1166"/>
      <c r="ED35" s="1138"/>
      <c r="EE35" s="1166">
        <f t="shared" si="162"/>
        <v>0.23352506241681642</v>
      </c>
      <c r="EF35" s="1140">
        <f t="shared" si="163"/>
        <v>0.35358240645725048</v>
      </c>
      <c r="EG35" s="1159">
        <f t="shared" si="164"/>
        <v>5.6661374990548223</v>
      </c>
      <c r="EH35" s="1167">
        <f t="shared" si="165"/>
        <v>8</v>
      </c>
      <c r="EI35" s="1302">
        <f t="shared" si="166"/>
        <v>0.70826718738185279</v>
      </c>
      <c r="EJ35" s="1168">
        <f t="shared" si="167"/>
        <v>1.5758072593865107</v>
      </c>
      <c r="EK35" s="1169">
        <f t="shared" si="168"/>
        <v>2</v>
      </c>
      <c r="EL35" s="1170">
        <f t="shared" si="169"/>
        <v>0.78790362969325534</v>
      </c>
      <c r="EM35" s="1159">
        <f t="shared" si="170"/>
        <v>0.83916290977418639</v>
      </c>
      <c r="EN35" s="1167">
        <f t="shared" si="171"/>
        <v>1</v>
      </c>
      <c r="EO35" s="1171">
        <f t="shared" si="172"/>
        <v>0.83916290977418639</v>
      </c>
      <c r="EP35" s="1168">
        <f t="shared" si="173"/>
        <v>2.0047458686894704</v>
      </c>
      <c r="EQ35" s="1169">
        <f t="shared" si="174"/>
        <v>3</v>
      </c>
      <c r="ER35" s="1146">
        <f t="shared" si="175"/>
        <v>0.66824862289649012</v>
      </c>
      <c r="ES35" s="1159">
        <f t="shared" si="176"/>
        <v>1.2464214612046547</v>
      </c>
      <c r="ET35" s="1167">
        <f t="shared" si="177"/>
        <v>2</v>
      </c>
      <c r="EU35" s="1155">
        <f t="shared" si="178"/>
        <v>0.62321073060232735</v>
      </c>
      <c r="EV35" s="1159">
        <f t="shared" si="179"/>
        <v>2.0855843709788413</v>
      </c>
      <c r="EW35" s="1167">
        <f t="shared" si="180"/>
        <v>3</v>
      </c>
      <c r="EX35" s="1155">
        <f t="shared" si="181"/>
        <v>0.6951947903262804</v>
      </c>
    </row>
    <row r="36" spans="2:154">
      <c r="B36" s="1218" t="s">
        <v>1263</v>
      </c>
      <c r="C36" s="1219">
        <v>8</v>
      </c>
      <c r="D36" s="1230" t="s">
        <v>1269</v>
      </c>
      <c r="E36" s="1230" t="s">
        <v>1270</v>
      </c>
      <c r="F36" s="1231" t="s">
        <v>1271</v>
      </c>
      <c r="V36" s="1268">
        <v>35.4</v>
      </c>
      <c r="W36" s="1276">
        <v>0.88450000000000006</v>
      </c>
      <c r="X36" s="1283">
        <v>65.971428571428575</v>
      </c>
      <c r="Y36" s="1272">
        <v>567.33893557422982</v>
      </c>
      <c r="Z36" s="1255" t="s">
        <v>1058</v>
      </c>
      <c r="AA36" s="1265">
        <v>5.5</v>
      </c>
      <c r="AB36" s="1299">
        <v>5.4</v>
      </c>
      <c r="AC36" s="1291">
        <v>1.1041228237995027</v>
      </c>
      <c r="AD36" s="1271" t="s">
        <v>1058</v>
      </c>
      <c r="AE36" s="1271" t="s">
        <v>1058</v>
      </c>
      <c r="AF36" s="1254">
        <v>51.714519846350839</v>
      </c>
      <c r="AG36" s="1291">
        <v>26.588000000000001</v>
      </c>
      <c r="AH36" s="1253">
        <v>4</v>
      </c>
      <c r="AI36" s="1253">
        <v>4</v>
      </c>
      <c r="AJ36" s="1253">
        <v>4</v>
      </c>
      <c r="AK36" s="1253">
        <v>1</v>
      </c>
      <c r="AL36" s="1253">
        <v>2</v>
      </c>
      <c r="AM36" s="1253">
        <v>2</v>
      </c>
      <c r="AN36" s="1253">
        <v>3</v>
      </c>
      <c r="AO36" s="1253">
        <v>2</v>
      </c>
      <c r="AP36" s="1253">
        <v>110</v>
      </c>
      <c r="AQ36" s="1253"/>
      <c r="AR36" s="1253">
        <v>2</v>
      </c>
      <c r="AS36" s="1253">
        <v>5</v>
      </c>
      <c r="AT36" s="1253">
        <v>2</v>
      </c>
      <c r="AU36" s="1253"/>
      <c r="AV36" s="1133">
        <f t="shared" si="84"/>
        <v>3.81</v>
      </c>
      <c r="AW36" s="1134">
        <f t="shared" si="85"/>
        <v>1.05</v>
      </c>
      <c r="AX36" s="1134">
        <f t="shared" si="86"/>
        <v>0.15</v>
      </c>
      <c r="AY36" s="1135">
        <f t="shared" si="87"/>
        <v>0.88450000000000006</v>
      </c>
      <c r="AZ36" s="1136">
        <f t="shared" si="88"/>
        <v>0.53871921918230969</v>
      </c>
      <c r="BA36" s="1137">
        <f t="shared" si="89"/>
        <v>0.89993809999999996</v>
      </c>
      <c r="BB36" s="956">
        <f t="shared" si="90"/>
        <v>1.1599999999999999</v>
      </c>
      <c r="BC36" s="1138">
        <f t="shared" si="91"/>
        <v>1</v>
      </c>
      <c r="BD36" s="1139">
        <f t="shared" si="92"/>
        <v>65.971428571428575</v>
      </c>
      <c r="BE36" s="1138">
        <f t="shared" si="93"/>
        <v>0.95075881662124584</v>
      </c>
      <c r="BF36" s="1140">
        <f t="shared" si="94"/>
        <v>1</v>
      </c>
      <c r="BG36" s="1137">
        <f t="shared" si="95"/>
        <v>0.03</v>
      </c>
      <c r="BH36" s="956">
        <f t="shared" si="96"/>
        <v>1</v>
      </c>
      <c r="BI36" s="956">
        <f t="shared" si="97"/>
        <v>1.08</v>
      </c>
      <c r="BJ36" s="956">
        <f t="shared" si="98"/>
        <v>0</v>
      </c>
      <c r="BK36" s="956">
        <f t="shared" si="99"/>
        <v>1.08</v>
      </c>
      <c r="BL36" s="956">
        <f t="shared" si="100"/>
        <v>0</v>
      </c>
      <c r="BM36" s="1141">
        <f t="shared" si="101"/>
        <v>567.33893557422982</v>
      </c>
      <c r="BN36" s="1142">
        <f t="shared" si="102"/>
        <v>0.99999957635719483</v>
      </c>
      <c r="BO36" s="1143">
        <f t="shared" si="103"/>
        <v>0.43227500000000002</v>
      </c>
      <c r="BP36" s="1144">
        <f t="shared" si="104"/>
        <v>0.9</v>
      </c>
      <c r="BQ36" s="1134">
        <f t="shared" si="105"/>
        <v>0.9</v>
      </c>
      <c r="BR36" s="1145" t="str">
        <f t="shared" si="106"/>
        <v>.</v>
      </c>
      <c r="BS36" s="1146" t="e">
        <f t="shared" si="107"/>
        <v>#VALUE!</v>
      </c>
      <c r="BT36" s="1147">
        <f>VLOOKUP(AP36,'CROP FACTORS'!$C$5:$N$130,7,FALSE)</f>
        <v>6</v>
      </c>
      <c r="BU36" s="1148">
        <f>VLOOKUP(AP36,'CROP FACTORS'!$C$5:$P$130,8,FALSE)</f>
        <v>1</v>
      </c>
      <c r="BV36" s="1149">
        <f t="shared" si="108"/>
        <v>5.5</v>
      </c>
      <c r="BW36" s="1150">
        <f t="shared" si="109"/>
        <v>0.88249690258459546</v>
      </c>
      <c r="BX36" s="1137">
        <f>VLOOKUP(AP36,'CROP FACTORS'!$C$5:$N$130,10,FALSE)</f>
        <v>16</v>
      </c>
      <c r="BY36" s="1138">
        <f t="shared" si="110"/>
        <v>170.02558720000002</v>
      </c>
      <c r="BZ36" s="956">
        <f t="shared" si="111"/>
        <v>0.01</v>
      </c>
      <c r="CA36" s="956">
        <f t="shared" si="112"/>
        <v>1.01</v>
      </c>
      <c r="CB36" s="1148">
        <f t="shared" si="113"/>
        <v>171.54450228197186</v>
      </c>
      <c r="CC36" s="1148">
        <f t="shared" si="114"/>
        <v>173.44310150272003</v>
      </c>
      <c r="CD36" s="956">
        <f t="shared" si="115"/>
        <v>140</v>
      </c>
      <c r="CE36" s="956">
        <f t="shared" si="116"/>
        <v>90000</v>
      </c>
      <c r="CF36" s="956">
        <f t="shared" si="117"/>
        <v>1.4</v>
      </c>
      <c r="CG36" s="956">
        <f t="shared" si="118"/>
        <v>0.02</v>
      </c>
      <c r="CH36" s="956">
        <f t="shared" si="119"/>
        <v>127114.47</v>
      </c>
      <c r="CI36" s="956">
        <f t="shared" si="120"/>
        <v>128519.99999999999</v>
      </c>
      <c r="CJ36" s="1138">
        <f t="shared" si="121"/>
        <v>1.25</v>
      </c>
      <c r="CK36" s="1138">
        <f t="shared" si="122"/>
        <v>2.1</v>
      </c>
      <c r="CL36" s="1138">
        <f t="shared" si="123"/>
        <v>1.25</v>
      </c>
      <c r="CM36" s="1138">
        <f t="shared" si="124"/>
        <v>1.25</v>
      </c>
      <c r="CN36" s="1151">
        <f t="shared" si="125"/>
        <v>5.4</v>
      </c>
      <c r="CO36" s="1138">
        <f t="shared" si="126"/>
        <v>0.66782654613890668</v>
      </c>
      <c r="CP36" s="1138">
        <f t="shared" si="127"/>
        <v>0.6653803607141846</v>
      </c>
      <c r="CQ36" s="1152">
        <f t="shared" si="128"/>
        <v>0.66782654613890668</v>
      </c>
      <c r="CR36" s="1153">
        <f t="shared" si="129"/>
        <v>0.6653803607141846</v>
      </c>
      <c r="CS36" s="1137">
        <f t="shared" si="130"/>
        <v>0.79600000000000004</v>
      </c>
      <c r="CT36" s="956">
        <f t="shared" si="131"/>
        <v>16.945</v>
      </c>
      <c r="CU36" s="956">
        <f t="shared" si="132"/>
        <v>-10.79</v>
      </c>
      <c r="CV36" s="956">
        <f t="shared" si="133"/>
        <v>0</v>
      </c>
      <c r="CW36" s="956">
        <f t="shared" si="134"/>
        <v>9.3587152000000007</v>
      </c>
      <c r="CX36" s="956">
        <f t="shared" si="135"/>
        <v>-10.275524000000001</v>
      </c>
      <c r="CY36" s="1154">
        <f t="shared" si="136"/>
        <v>1.1041228237995027</v>
      </c>
      <c r="CZ36" s="1155">
        <f t="shared" si="137"/>
        <v>0.96695583603845048</v>
      </c>
      <c r="DA36" s="1137" t="e">
        <f>MIN(VLOOKUP(AP36,'CROP FACTORS'!$C$5:$N$130,2,FALSE),VLOOKUP(AQ36,'CROP FACTORS'!$C$5:$N$130,2,FALSE))</f>
        <v>#N/A</v>
      </c>
      <c r="DB36" s="956" t="e">
        <f>MIN(VLOOKUP(AP36,'CROP FACTORS'!$C$5:$N$130,4,FALSE),VLOOKUP(AQ36,'CROP FACTORS'!$C$5:$N$130,4,FALSE))</f>
        <v>#N/A</v>
      </c>
      <c r="DC36" s="1156" t="e">
        <f t="shared" si="138"/>
        <v>#N/A</v>
      </c>
      <c r="DD36" s="1138">
        <f t="shared" si="139"/>
        <v>1.22</v>
      </c>
      <c r="DE36" s="1157" t="str">
        <f t="shared" si="140"/>
        <v>.</v>
      </c>
      <c r="DF36" s="1138" t="e">
        <f t="shared" si="141"/>
        <v>#N/A</v>
      </c>
      <c r="DG36" s="1158" t="e">
        <f t="shared" si="142"/>
        <v>#N/A</v>
      </c>
      <c r="DH36" s="1159" t="str">
        <f t="shared" si="143"/>
        <v>.</v>
      </c>
      <c r="DI36" s="1153" t="e">
        <f t="shared" si="144"/>
        <v>#VALUE!</v>
      </c>
      <c r="DJ36" s="1133">
        <f t="shared" si="145"/>
        <v>5.8</v>
      </c>
      <c r="DK36" s="1160">
        <f t="shared" si="146"/>
        <v>2.7</v>
      </c>
      <c r="DL36" s="1134">
        <f t="shared" si="147"/>
        <v>2.1</v>
      </c>
      <c r="DM36" s="1161">
        <f t="shared" si="148"/>
        <v>51.714519846350839</v>
      </c>
      <c r="DN36" s="1144">
        <f t="shared" si="149"/>
        <v>48.546000000000006</v>
      </c>
      <c r="DO36" s="1162">
        <f t="shared" si="150"/>
        <v>0.20481470588959177</v>
      </c>
      <c r="DP36" s="1163">
        <f t="shared" si="151"/>
        <v>0.20481470588959177</v>
      </c>
      <c r="DQ36" s="1133">
        <f t="shared" si="152"/>
        <v>1.0745</v>
      </c>
      <c r="DR36" s="1134">
        <f t="shared" si="153"/>
        <v>-1.3429999999999999E-2</v>
      </c>
      <c r="DS36" s="1164">
        <f t="shared" si="154"/>
        <v>26.588000000000001</v>
      </c>
      <c r="DT36" s="1146">
        <f t="shared" si="155"/>
        <v>0.32265222538681815</v>
      </c>
      <c r="DU36" s="1165">
        <f t="shared" si="156"/>
        <v>0.53871921918230969</v>
      </c>
      <c r="DV36" s="1166">
        <f t="shared" si="157"/>
        <v>1</v>
      </c>
      <c r="DW36" s="1166">
        <f t="shared" si="158"/>
        <v>0.99999957635719483</v>
      </c>
      <c r="DX36" s="1166"/>
      <c r="DY36" s="1166">
        <f t="shared" si="159"/>
        <v>0.88249690258459546</v>
      </c>
      <c r="DZ36" s="1166">
        <f t="shared" si="160"/>
        <v>0.66782654613890668</v>
      </c>
      <c r="EA36" s="1138"/>
      <c r="EB36" s="1166">
        <f t="shared" si="161"/>
        <v>0.96695583603845048</v>
      </c>
      <c r="EC36" s="1166"/>
      <c r="ED36" s="1138"/>
      <c r="EE36" s="1166">
        <f t="shared" si="162"/>
        <v>0.20481470588959177</v>
      </c>
      <c r="EF36" s="1140">
        <f t="shared" si="163"/>
        <v>0.32265222538681815</v>
      </c>
      <c r="EG36" s="1159">
        <f t="shared" si="164"/>
        <v>5.583465011577867</v>
      </c>
      <c r="EH36" s="1167">
        <f t="shared" si="165"/>
        <v>8</v>
      </c>
      <c r="EI36" s="1302">
        <f t="shared" si="166"/>
        <v>0.69793312644723338</v>
      </c>
      <c r="EJ36" s="1168">
        <f t="shared" si="167"/>
        <v>1.9669558360384505</v>
      </c>
      <c r="EK36" s="1169">
        <f t="shared" si="168"/>
        <v>2</v>
      </c>
      <c r="EL36" s="1170">
        <f t="shared" si="169"/>
        <v>0.98347791801922524</v>
      </c>
      <c r="EM36" s="1159">
        <f t="shared" si="170"/>
        <v>0.88249690258459546</v>
      </c>
      <c r="EN36" s="1167">
        <f t="shared" si="171"/>
        <v>1</v>
      </c>
      <c r="EO36" s="1171">
        <f t="shared" si="172"/>
        <v>0.88249690258459546</v>
      </c>
      <c r="EP36" s="1168">
        <f t="shared" si="173"/>
        <v>1.7435335014290962</v>
      </c>
      <c r="EQ36" s="1169">
        <f t="shared" si="174"/>
        <v>3</v>
      </c>
      <c r="ER36" s="1146">
        <f t="shared" si="175"/>
        <v>0.58117783380969879</v>
      </c>
      <c r="ES36" s="1159">
        <f t="shared" si="176"/>
        <v>0.99047877152572483</v>
      </c>
      <c r="ET36" s="1167">
        <f t="shared" si="177"/>
        <v>2</v>
      </c>
      <c r="EU36" s="1155">
        <f t="shared" si="178"/>
        <v>0.49523938576286242</v>
      </c>
      <c r="EV36" s="1159">
        <f t="shared" si="179"/>
        <v>1.8729756741103203</v>
      </c>
      <c r="EW36" s="1167">
        <f t="shared" si="180"/>
        <v>3</v>
      </c>
      <c r="EX36" s="1155">
        <f t="shared" si="181"/>
        <v>0.6243252247034401</v>
      </c>
    </row>
    <row r="37" spans="2:154" ht="16" thickBot="1">
      <c r="B37" s="1218" t="s">
        <v>1263</v>
      </c>
      <c r="C37" s="1219">
        <v>9</v>
      </c>
      <c r="D37" s="1230" t="s">
        <v>1269</v>
      </c>
      <c r="E37" s="1230" t="s">
        <v>1270</v>
      </c>
      <c r="F37" s="1231" t="s">
        <v>1271</v>
      </c>
      <c r="V37" s="1275">
        <v>34.6</v>
      </c>
      <c r="W37" s="1259">
        <v>1.06</v>
      </c>
      <c r="X37" s="1281">
        <v>70.61999999999999</v>
      </c>
      <c r="Y37" s="1270">
        <v>574.04706086654517</v>
      </c>
      <c r="Z37" s="1255" t="s">
        <v>1058</v>
      </c>
      <c r="AA37" s="1274">
        <v>5.7766000000000002</v>
      </c>
      <c r="AB37" s="1258">
        <v>12.2</v>
      </c>
      <c r="AC37" s="1301">
        <v>1.107709967476564</v>
      </c>
      <c r="AD37" s="1271" t="s">
        <v>1058</v>
      </c>
      <c r="AE37" s="1271" t="s">
        <v>1058</v>
      </c>
      <c r="AF37" s="1284">
        <v>66.521801012962499</v>
      </c>
      <c r="AG37" s="1301">
        <v>19.55</v>
      </c>
      <c r="AH37" s="1269">
        <v>4</v>
      </c>
      <c r="AI37" s="1269">
        <v>4</v>
      </c>
      <c r="AJ37" s="1269">
        <v>4</v>
      </c>
      <c r="AK37" s="1269">
        <v>1</v>
      </c>
      <c r="AL37" s="1269">
        <v>2</v>
      </c>
      <c r="AM37" s="1269">
        <v>2</v>
      </c>
      <c r="AN37" s="1269">
        <v>3</v>
      </c>
      <c r="AO37" s="1269">
        <v>2</v>
      </c>
      <c r="AP37" s="1253">
        <v>110</v>
      </c>
      <c r="AQ37" s="1269"/>
      <c r="AR37" s="1269">
        <v>2</v>
      </c>
      <c r="AS37" s="1269">
        <v>5</v>
      </c>
      <c r="AT37" s="1269">
        <v>2</v>
      </c>
      <c r="AU37" s="1269"/>
      <c r="AV37" s="1133">
        <f t="shared" si="84"/>
        <v>3.81</v>
      </c>
      <c r="AW37" s="1134">
        <f t="shared" si="85"/>
        <v>1.05</v>
      </c>
      <c r="AX37" s="1134">
        <f t="shared" si="86"/>
        <v>0.15</v>
      </c>
      <c r="AY37" s="1135">
        <f t="shared" si="87"/>
        <v>1.06</v>
      </c>
      <c r="AZ37" s="1136">
        <f t="shared" si="88"/>
        <v>0.72363976489273896</v>
      </c>
      <c r="BA37" s="1137">
        <f t="shared" si="89"/>
        <v>0.89993809999999996</v>
      </c>
      <c r="BB37" s="956">
        <f t="shared" si="90"/>
        <v>1.1599999999999999</v>
      </c>
      <c r="BC37" s="1138">
        <f t="shared" si="91"/>
        <v>1</v>
      </c>
      <c r="BD37" s="1139">
        <f t="shared" si="92"/>
        <v>70.61999999999999</v>
      </c>
      <c r="BE37" s="1138">
        <f t="shared" si="93"/>
        <v>0.90316413510769677</v>
      </c>
      <c r="BF37" s="1140">
        <f t="shared" si="94"/>
        <v>1</v>
      </c>
      <c r="BG37" s="1137">
        <f t="shared" si="95"/>
        <v>0.03</v>
      </c>
      <c r="BH37" s="956">
        <f t="shared" si="96"/>
        <v>1</v>
      </c>
      <c r="BI37" s="956">
        <f t="shared" si="97"/>
        <v>1.08</v>
      </c>
      <c r="BJ37" s="956">
        <f t="shared" si="98"/>
        <v>0</v>
      </c>
      <c r="BK37" s="956">
        <f t="shared" si="99"/>
        <v>1.08</v>
      </c>
      <c r="BL37" s="956">
        <f t="shared" si="100"/>
        <v>0</v>
      </c>
      <c r="BM37" s="1141">
        <f t="shared" si="101"/>
        <v>574.04706086654517</v>
      </c>
      <c r="BN37" s="1142">
        <f t="shared" si="102"/>
        <v>0.99999965911421407</v>
      </c>
      <c r="BO37" s="1143">
        <f t="shared" si="103"/>
        <v>0.43227500000000002</v>
      </c>
      <c r="BP37" s="1144">
        <f t="shared" si="104"/>
        <v>0.9</v>
      </c>
      <c r="BQ37" s="1134">
        <f t="shared" si="105"/>
        <v>0.9</v>
      </c>
      <c r="BR37" s="1145" t="str">
        <f t="shared" si="106"/>
        <v>.</v>
      </c>
      <c r="BS37" s="1146" t="e">
        <f t="shared" si="107"/>
        <v>#VALUE!</v>
      </c>
      <c r="BT37" s="1147">
        <f>VLOOKUP(AP37,'CROP FACTORS'!$C$5:$N$130,7,FALSE)</f>
        <v>6</v>
      </c>
      <c r="BU37" s="1148">
        <f>VLOOKUP(AP37,'CROP FACTORS'!$C$5:$P$130,8,FALSE)</f>
        <v>1</v>
      </c>
      <c r="BV37" s="1149">
        <f t="shared" si="108"/>
        <v>5.7766000000000002</v>
      </c>
      <c r="BW37" s="1150">
        <f t="shared" si="109"/>
        <v>0.97535499189425434</v>
      </c>
      <c r="BX37" s="1137">
        <f>VLOOKUP(AP37,'CROP FACTORS'!$C$5:$N$130,10,FALSE)</f>
        <v>16</v>
      </c>
      <c r="BY37" s="1138">
        <f t="shared" si="110"/>
        <v>170.02558720000002</v>
      </c>
      <c r="BZ37" s="956">
        <f t="shared" si="111"/>
        <v>0.01</v>
      </c>
      <c r="CA37" s="956">
        <f t="shared" si="112"/>
        <v>1.01</v>
      </c>
      <c r="CB37" s="1148">
        <f t="shared" si="113"/>
        <v>171.84588113656321</v>
      </c>
      <c r="CC37" s="1148">
        <f t="shared" si="114"/>
        <v>173.44310150272003</v>
      </c>
      <c r="CD37" s="956">
        <f t="shared" si="115"/>
        <v>140</v>
      </c>
      <c r="CE37" s="956">
        <f t="shared" si="116"/>
        <v>90000</v>
      </c>
      <c r="CF37" s="956">
        <f t="shared" si="117"/>
        <v>1.4</v>
      </c>
      <c r="CG37" s="956">
        <f t="shared" si="118"/>
        <v>0.02</v>
      </c>
      <c r="CH37" s="956">
        <f t="shared" si="119"/>
        <v>127335.59999999999</v>
      </c>
      <c r="CI37" s="956">
        <f t="shared" si="120"/>
        <v>128519.99999999999</v>
      </c>
      <c r="CJ37" s="1138">
        <f t="shared" si="121"/>
        <v>1.25</v>
      </c>
      <c r="CK37" s="1138">
        <f t="shared" si="122"/>
        <v>2.1</v>
      </c>
      <c r="CL37" s="1138">
        <f t="shared" si="123"/>
        <v>1.25</v>
      </c>
      <c r="CM37" s="1138">
        <f t="shared" si="124"/>
        <v>1.25</v>
      </c>
      <c r="CN37" s="1151">
        <f t="shared" si="125"/>
        <v>12.2</v>
      </c>
      <c r="CO37" s="1138">
        <f t="shared" si="126"/>
        <v>0.96047994640841405</v>
      </c>
      <c r="CP37" s="1138">
        <f t="shared" si="127"/>
        <v>0.96012727368092965</v>
      </c>
      <c r="CQ37" s="1152">
        <f t="shared" si="128"/>
        <v>0.96047994640841405</v>
      </c>
      <c r="CR37" s="1153">
        <f t="shared" si="129"/>
        <v>0.96012727368092965</v>
      </c>
      <c r="CS37" s="1137">
        <f t="shared" si="130"/>
        <v>0.79600000000000004</v>
      </c>
      <c r="CT37" s="956">
        <f t="shared" si="131"/>
        <v>16.945</v>
      </c>
      <c r="CU37" s="956">
        <f t="shared" si="132"/>
        <v>-10.79</v>
      </c>
      <c r="CV37" s="956">
        <f t="shared" si="133"/>
        <v>0</v>
      </c>
      <c r="CW37" s="956">
        <f t="shared" si="134"/>
        <v>9.3587152000000007</v>
      </c>
      <c r="CX37" s="956">
        <f t="shared" si="135"/>
        <v>-10.275524000000001</v>
      </c>
      <c r="CY37" s="1154">
        <f t="shared" si="136"/>
        <v>1.107709967476564</v>
      </c>
      <c r="CZ37" s="1155">
        <f t="shared" si="137"/>
        <v>0.96378499829737219</v>
      </c>
      <c r="DA37" s="1137" t="e">
        <f>MIN(VLOOKUP(AP37,'CROP FACTORS'!$C$5:$N$130,2,FALSE),VLOOKUP(AQ37,'CROP FACTORS'!$C$5:$N$130,2,FALSE))</f>
        <v>#N/A</v>
      </c>
      <c r="DB37" s="956" t="e">
        <f>MIN(VLOOKUP(AP37,'CROP FACTORS'!$C$5:$N$130,4,FALSE),VLOOKUP(AQ37,'CROP FACTORS'!$C$5:$N$130,4,FALSE))</f>
        <v>#N/A</v>
      </c>
      <c r="DC37" s="1156" t="e">
        <f t="shared" si="138"/>
        <v>#N/A</v>
      </c>
      <c r="DD37" s="1138">
        <f t="shared" si="139"/>
        <v>1.22</v>
      </c>
      <c r="DE37" s="1157" t="str">
        <f t="shared" si="140"/>
        <v>.</v>
      </c>
      <c r="DF37" s="1138" t="e">
        <f t="shared" si="141"/>
        <v>#N/A</v>
      </c>
      <c r="DG37" s="1158" t="e">
        <f t="shared" si="142"/>
        <v>#N/A</v>
      </c>
      <c r="DH37" s="1159" t="str">
        <f t="shared" si="143"/>
        <v>.</v>
      </c>
      <c r="DI37" s="1153" t="e">
        <f t="shared" si="144"/>
        <v>#VALUE!</v>
      </c>
      <c r="DJ37" s="1133">
        <f t="shared" si="145"/>
        <v>5.8</v>
      </c>
      <c r="DK37" s="1160">
        <f t="shared" si="146"/>
        <v>2.7</v>
      </c>
      <c r="DL37" s="1134">
        <f t="shared" si="147"/>
        <v>2.1</v>
      </c>
      <c r="DM37" s="1161">
        <f t="shared" si="148"/>
        <v>66.521801012962499</v>
      </c>
      <c r="DN37" s="1144">
        <f t="shared" si="149"/>
        <v>48.546000000000006</v>
      </c>
      <c r="DO37" s="1162">
        <f t="shared" si="150"/>
        <v>0.34638928487527154</v>
      </c>
      <c r="DP37" s="1163">
        <f t="shared" si="151"/>
        <v>0.34638928487527154</v>
      </c>
      <c r="DQ37" s="1133">
        <f t="shared" si="152"/>
        <v>1.0745</v>
      </c>
      <c r="DR37" s="1134">
        <f t="shared" si="153"/>
        <v>-1.3429999999999999E-2</v>
      </c>
      <c r="DS37" s="1164">
        <f t="shared" si="154"/>
        <v>19.55</v>
      </c>
      <c r="DT37" s="1146">
        <f t="shared" si="155"/>
        <v>0.24812041325165227</v>
      </c>
      <c r="DU37" s="1165">
        <f t="shared" si="156"/>
        <v>0.72363976489273896</v>
      </c>
      <c r="DV37" s="1166">
        <f t="shared" si="157"/>
        <v>1</v>
      </c>
      <c r="DW37" s="1166">
        <f t="shared" si="158"/>
        <v>0.99999965911421407</v>
      </c>
      <c r="DX37" s="1166"/>
      <c r="DY37" s="1166">
        <f t="shared" si="159"/>
        <v>0.97535499189425434</v>
      </c>
      <c r="DZ37" s="1166">
        <f t="shared" si="160"/>
        <v>0.96047994640841405</v>
      </c>
      <c r="EA37" s="1138"/>
      <c r="EB37" s="1166">
        <f t="shared" si="161"/>
        <v>0.96378499829737219</v>
      </c>
      <c r="EC37" s="1166"/>
      <c r="ED37" s="1138"/>
      <c r="EE37" s="1166">
        <f t="shared" si="162"/>
        <v>0.34638928487527154</v>
      </c>
      <c r="EF37" s="1140">
        <f t="shared" si="163"/>
        <v>0.24812041325165227</v>
      </c>
      <c r="EG37" s="1159">
        <f t="shared" si="164"/>
        <v>6.2177690587339178</v>
      </c>
      <c r="EH37" s="1167">
        <f t="shared" si="165"/>
        <v>8</v>
      </c>
      <c r="EI37" s="1302">
        <f t="shared" si="166"/>
        <v>0.77722113234173973</v>
      </c>
      <c r="EJ37" s="1168">
        <f t="shared" si="167"/>
        <v>1.9637849982973723</v>
      </c>
      <c r="EK37" s="1169">
        <f t="shared" si="168"/>
        <v>2</v>
      </c>
      <c r="EL37" s="1170">
        <f t="shared" si="169"/>
        <v>0.98189249914868615</v>
      </c>
      <c r="EM37" s="1159">
        <f t="shared" si="170"/>
        <v>0.97535499189425434</v>
      </c>
      <c r="EN37" s="1167">
        <f t="shared" si="171"/>
        <v>1</v>
      </c>
      <c r="EO37" s="1171">
        <f t="shared" si="172"/>
        <v>0.97535499189425434</v>
      </c>
      <c r="EP37" s="1168">
        <f t="shared" si="173"/>
        <v>2.0700287088822247</v>
      </c>
      <c r="EQ37" s="1169">
        <f t="shared" si="174"/>
        <v>3</v>
      </c>
      <c r="ER37" s="1146">
        <f t="shared" si="175"/>
        <v>0.69000956962740823</v>
      </c>
      <c r="ES37" s="1159">
        <f t="shared" si="176"/>
        <v>1.2086003596600663</v>
      </c>
      <c r="ET37" s="1167">
        <f t="shared" si="177"/>
        <v>2</v>
      </c>
      <c r="EU37" s="1155">
        <f t="shared" si="178"/>
        <v>0.60430017983003315</v>
      </c>
      <c r="EV37" s="1159">
        <f t="shared" si="179"/>
        <v>2.1839553515543209</v>
      </c>
      <c r="EW37" s="1167">
        <f t="shared" si="180"/>
        <v>3</v>
      </c>
      <c r="EX37" s="1155">
        <f t="shared" si="181"/>
        <v>0.72798511718477366</v>
      </c>
    </row>
    <row r="38" spans="2:154">
      <c r="B38" s="1232" t="s">
        <v>1272</v>
      </c>
      <c r="C38" s="1215">
        <v>1</v>
      </c>
      <c r="D38" s="1216" t="s">
        <v>1264</v>
      </c>
      <c r="E38" s="1216" t="s">
        <v>1265</v>
      </c>
      <c r="F38" s="1217" t="s">
        <v>1266</v>
      </c>
      <c r="V38" s="1278">
        <v>17.600000000000001</v>
      </c>
      <c r="W38" s="1262">
        <v>2.2149999999999999</v>
      </c>
      <c r="X38" s="1283">
        <v>93.974999999999994</v>
      </c>
      <c r="Y38" s="1272">
        <v>1393.2377188029352</v>
      </c>
      <c r="Z38" s="1255" t="s">
        <v>1058</v>
      </c>
      <c r="AA38" s="1277">
        <v>6.6063999999999998</v>
      </c>
      <c r="AB38" s="1261">
        <v>17.8</v>
      </c>
      <c r="AC38" s="1294">
        <v>1.1423796248813656</v>
      </c>
      <c r="AD38" s="1271" t="s">
        <v>1058</v>
      </c>
      <c r="AE38" s="1271" t="s">
        <v>1058</v>
      </c>
      <c r="AF38" s="1254">
        <v>116.80672315700281</v>
      </c>
      <c r="AG38" s="1282">
        <v>109.47999999999999</v>
      </c>
      <c r="AH38" s="1290">
        <v>4</v>
      </c>
      <c r="AI38" s="1290">
        <v>2</v>
      </c>
      <c r="AJ38" s="1290">
        <v>2</v>
      </c>
      <c r="AK38" s="1290">
        <v>1</v>
      </c>
      <c r="AL38" s="1290">
        <v>1</v>
      </c>
      <c r="AM38" s="1290">
        <v>2</v>
      </c>
      <c r="AN38" s="1290">
        <v>3</v>
      </c>
      <c r="AO38" s="1290">
        <v>2</v>
      </c>
      <c r="AP38" s="1253">
        <v>108</v>
      </c>
      <c r="AQ38" s="1290"/>
      <c r="AR38" s="1290">
        <v>2</v>
      </c>
      <c r="AS38" s="1290">
        <v>5</v>
      </c>
      <c r="AT38" s="1290">
        <v>2</v>
      </c>
      <c r="AU38" s="1290"/>
      <c r="AV38" s="1133">
        <f t="shared" si="84"/>
        <v>3.81</v>
      </c>
      <c r="AW38" s="1134">
        <f t="shared" si="85"/>
        <v>1.25</v>
      </c>
      <c r="AX38" s="1134">
        <f t="shared" si="86"/>
        <v>0.15</v>
      </c>
      <c r="AY38" s="1135">
        <f t="shared" si="87"/>
        <v>2.2149999999999999</v>
      </c>
      <c r="AZ38" s="1136">
        <f t="shared" si="88"/>
        <v>0.99973011835177772</v>
      </c>
      <c r="BA38" s="1137">
        <f t="shared" si="89"/>
        <v>0.89993809999999996</v>
      </c>
      <c r="BB38" s="956">
        <f t="shared" si="90"/>
        <v>1.06</v>
      </c>
      <c r="BC38" s="1138">
        <f t="shared" si="91"/>
        <v>1.1000000000000001</v>
      </c>
      <c r="BD38" s="1139">
        <f t="shared" si="92"/>
        <v>93.974999999999994</v>
      </c>
      <c r="BE38" s="1138">
        <f t="shared" si="93"/>
        <v>0.47012427992167261</v>
      </c>
      <c r="BF38" s="1140">
        <f t="shared" si="94"/>
        <v>1</v>
      </c>
      <c r="BG38" s="1137">
        <f t="shared" si="95"/>
        <v>0.03</v>
      </c>
      <c r="BH38" s="956">
        <f t="shared" si="96"/>
        <v>1.35</v>
      </c>
      <c r="BI38" s="956">
        <f t="shared" si="97"/>
        <v>1.08</v>
      </c>
      <c r="BJ38" s="956">
        <f t="shared" si="98"/>
        <v>0</v>
      </c>
      <c r="BK38" s="956">
        <f t="shared" si="99"/>
        <v>1.08</v>
      </c>
      <c r="BL38" s="956">
        <f t="shared" si="100"/>
        <v>0</v>
      </c>
      <c r="BM38" s="1141">
        <f t="shared" si="101"/>
        <v>1393.2377188029352</v>
      </c>
      <c r="BN38" s="1142">
        <f t="shared" si="102"/>
        <v>1</v>
      </c>
      <c r="BO38" s="1143">
        <f t="shared" si="103"/>
        <v>0.43227500000000002</v>
      </c>
      <c r="BP38" s="1144">
        <f t="shared" si="104"/>
        <v>1</v>
      </c>
      <c r="BQ38" s="1134">
        <f t="shared" si="105"/>
        <v>0.9</v>
      </c>
      <c r="BR38" s="1145" t="str">
        <f t="shared" si="106"/>
        <v>.</v>
      </c>
      <c r="BS38" s="1146" t="e">
        <f t="shared" si="107"/>
        <v>#VALUE!</v>
      </c>
      <c r="BT38" s="1147">
        <f>VLOOKUP(AP38,'CROP FACTORS'!$C$5:$N$130,7,FALSE)</f>
        <v>5.5</v>
      </c>
      <c r="BU38" s="1148">
        <f>VLOOKUP(AP38,'CROP FACTORS'!$C$5:$P$130,8,FALSE)</f>
        <v>2</v>
      </c>
      <c r="BV38" s="1149">
        <f t="shared" si="108"/>
        <v>6.6063999999999998</v>
      </c>
      <c r="BW38" s="1150">
        <f t="shared" si="109"/>
        <v>0.85811674698808993</v>
      </c>
      <c r="BX38" s="1137">
        <f>VLOOKUP(AP38,'CROP FACTORS'!$C$5:$N$130,10,FALSE)</f>
        <v>12</v>
      </c>
      <c r="BY38" s="1138">
        <f t="shared" si="110"/>
        <v>70.512592799999993</v>
      </c>
      <c r="BZ38" s="956">
        <f t="shared" si="111"/>
        <v>0.01</v>
      </c>
      <c r="CA38" s="956">
        <f t="shared" si="112"/>
        <v>0.99</v>
      </c>
      <c r="CB38" s="1148">
        <f t="shared" si="113"/>
        <v>72.058828191214786</v>
      </c>
      <c r="CC38" s="1148">
        <f t="shared" si="114"/>
        <v>70.505541540719989</v>
      </c>
      <c r="CD38" s="956">
        <f t="shared" si="115"/>
        <v>140</v>
      </c>
      <c r="CE38" s="956">
        <f t="shared" si="116"/>
        <v>90000</v>
      </c>
      <c r="CF38" s="956">
        <f t="shared" si="117"/>
        <v>1</v>
      </c>
      <c r="CG38" s="956">
        <f t="shared" si="118"/>
        <v>0.02</v>
      </c>
      <c r="CH38" s="956">
        <f t="shared" si="119"/>
        <v>91993.5</v>
      </c>
      <c r="CI38" s="956">
        <f t="shared" si="120"/>
        <v>91800</v>
      </c>
      <c r="CJ38" s="1138">
        <f t="shared" si="121"/>
        <v>1.25</v>
      </c>
      <c r="CK38" s="1138">
        <f t="shared" si="122"/>
        <v>2.1</v>
      </c>
      <c r="CL38" s="1138">
        <f t="shared" si="123"/>
        <v>1.25</v>
      </c>
      <c r="CM38" s="1138">
        <f t="shared" si="124"/>
        <v>1.25</v>
      </c>
      <c r="CN38" s="1151">
        <f t="shared" si="125"/>
        <v>17.8</v>
      </c>
      <c r="CO38" s="1138">
        <f t="shared" si="126"/>
        <v>1</v>
      </c>
      <c r="CP38" s="1138">
        <f t="shared" si="127"/>
        <v>1</v>
      </c>
      <c r="CQ38" s="1152">
        <f t="shared" si="128"/>
        <v>1</v>
      </c>
      <c r="CR38" s="1153">
        <f t="shared" si="129"/>
        <v>1</v>
      </c>
      <c r="CS38" s="1137">
        <f t="shared" si="130"/>
        <v>0.79400000000000004</v>
      </c>
      <c r="CT38" s="956">
        <f t="shared" si="131"/>
        <v>88.025000000000006</v>
      </c>
      <c r="CU38" s="956">
        <f t="shared" si="132"/>
        <v>-12.061</v>
      </c>
      <c r="CV38" s="956">
        <f t="shared" si="133"/>
        <v>0</v>
      </c>
      <c r="CW38" s="956">
        <f t="shared" si="134"/>
        <v>9.3587152000000007</v>
      </c>
      <c r="CX38" s="956">
        <f t="shared" si="135"/>
        <v>-10.275524000000001</v>
      </c>
      <c r="CY38" s="1154">
        <f t="shared" si="136"/>
        <v>1.1423796248813656</v>
      </c>
      <c r="CZ38" s="1155">
        <f t="shared" si="137"/>
        <v>0.99399998325991723</v>
      </c>
      <c r="DA38" s="1137" t="e">
        <f>MIN(VLOOKUP(AP38,'CROP FACTORS'!$C$5:$N$130,2,FALSE),VLOOKUP(AQ38,'CROP FACTORS'!$C$5:$N$130,2,FALSE))</f>
        <v>#N/A</v>
      </c>
      <c r="DB38" s="956" t="e">
        <f>MIN(VLOOKUP(AP38,'CROP FACTORS'!$C$5:$N$130,4,FALSE),VLOOKUP(AQ38,'CROP FACTORS'!$C$5:$N$130,4,FALSE))</f>
        <v>#N/A</v>
      </c>
      <c r="DC38" s="1156" t="e">
        <f t="shared" si="138"/>
        <v>#N/A</v>
      </c>
      <c r="DD38" s="1138">
        <f t="shared" si="139"/>
        <v>1.07</v>
      </c>
      <c r="DE38" s="1157" t="str">
        <f t="shared" si="140"/>
        <v>.</v>
      </c>
      <c r="DF38" s="1138" t="e">
        <f t="shared" si="141"/>
        <v>#N/A</v>
      </c>
      <c r="DG38" s="1158" t="e">
        <f t="shared" si="142"/>
        <v>#N/A</v>
      </c>
      <c r="DH38" s="1159" t="str">
        <f t="shared" si="143"/>
        <v>.</v>
      </c>
      <c r="DI38" s="1153" t="e">
        <f t="shared" si="144"/>
        <v>#VALUE!</v>
      </c>
      <c r="DJ38" s="1133">
        <f t="shared" si="145"/>
        <v>5.8</v>
      </c>
      <c r="DK38" s="1160">
        <f t="shared" si="146"/>
        <v>2.9</v>
      </c>
      <c r="DL38" s="1134">
        <f t="shared" si="147"/>
        <v>2.1</v>
      </c>
      <c r="DM38" s="1161">
        <f t="shared" si="148"/>
        <v>116.80672315700281</v>
      </c>
      <c r="DN38" s="1144">
        <f t="shared" si="149"/>
        <v>52.142000000000003</v>
      </c>
      <c r="DO38" s="1162">
        <f t="shared" si="150"/>
        <v>0.91024857185007435</v>
      </c>
      <c r="DP38" s="1163">
        <f t="shared" si="151"/>
        <v>0.91024857185007435</v>
      </c>
      <c r="DQ38" s="1133">
        <f t="shared" si="152"/>
        <v>1.0541</v>
      </c>
      <c r="DR38" s="1134">
        <f t="shared" si="153"/>
        <v>-9.8099999999999993E-3</v>
      </c>
      <c r="DS38" s="1164">
        <f t="shared" si="154"/>
        <v>109.47999999999999</v>
      </c>
      <c r="DT38" s="1146">
        <f t="shared" si="155"/>
        <v>0.69397766208585621</v>
      </c>
      <c r="DU38" s="1165">
        <f t="shared" si="156"/>
        <v>0.99973011835177772</v>
      </c>
      <c r="DV38" s="1166">
        <f t="shared" si="157"/>
        <v>1</v>
      </c>
      <c r="DW38" s="1166">
        <f t="shared" si="158"/>
        <v>1</v>
      </c>
      <c r="DX38" s="1166"/>
      <c r="DY38" s="1166">
        <f t="shared" si="159"/>
        <v>0.85811674698808993</v>
      </c>
      <c r="DZ38" s="1166">
        <f t="shared" si="160"/>
        <v>1</v>
      </c>
      <c r="EA38" s="1138"/>
      <c r="EB38" s="1166">
        <f t="shared" si="161"/>
        <v>0.99399998325991723</v>
      </c>
      <c r="EC38" s="1166"/>
      <c r="ED38" s="1138"/>
      <c r="EE38" s="1166">
        <f t="shared" si="162"/>
        <v>0.91024857185007435</v>
      </c>
      <c r="EF38" s="1140">
        <f t="shared" si="163"/>
        <v>0.69397766208585621</v>
      </c>
      <c r="EG38" s="1159">
        <f t="shared" si="164"/>
        <v>7.4560730825357151</v>
      </c>
      <c r="EH38" s="1167">
        <f t="shared" si="165"/>
        <v>8</v>
      </c>
      <c r="EI38" s="1312">
        <f t="shared" si="166"/>
        <v>0.93200913531696439</v>
      </c>
      <c r="EJ38" s="1168">
        <f t="shared" si="167"/>
        <v>1.9939999832599171</v>
      </c>
      <c r="EK38" s="1169">
        <f t="shared" si="168"/>
        <v>2</v>
      </c>
      <c r="EL38" s="1170">
        <f t="shared" si="169"/>
        <v>0.99699999162995856</v>
      </c>
      <c r="EM38" s="1159">
        <f t="shared" si="170"/>
        <v>0.85811674698808993</v>
      </c>
      <c r="EN38" s="1167">
        <f t="shared" si="171"/>
        <v>1</v>
      </c>
      <c r="EO38" s="1171">
        <f t="shared" si="172"/>
        <v>0.85811674698808993</v>
      </c>
      <c r="EP38" s="1168">
        <f t="shared" si="173"/>
        <v>2.9099786902018518</v>
      </c>
      <c r="EQ38" s="1169">
        <f t="shared" si="174"/>
        <v>3</v>
      </c>
      <c r="ER38" s="1146">
        <f t="shared" si="175"/>
        <v>0.96999289673395062</v>
      </c>
      <c r="ES38" s="1159">
        <f t="shared" si="176"/>
        <v>1.6939776620858562</v>
      </c>
      <c r="ET38" s="1167">
        <f t="shared" si="177"/>
        <v>2</v>
      </c>
      <c r="EU38" s="1155">
        <f t="shared" si="178"/>
        <v>0.8469888310429281</v>
      </c>
      <c r="EV38" s="1159">
        <f t="shared" si="179"/>
        <v>2.5520944090739461</v>
      </c>
      <c r="EW38" s="1167">
        <f t="shared" si="180"/>
        <v>3</v>
      </c>
      <c r="EX38" s="1155">
        <f t="shared" si="181"/>
        <v>0.85069813635798208</v>
      </c>
    </row>
    <row r="39" spans="2:154">
      <c r="B39" s="1233" t="s">
        <v>1272</v>
      </c>
      <c r="C39" s="1219">
        <v>2</v>
      </c>
      <c r="D39" s="1220" t="s">
        <v>1264</v>
      </c>
      <c r="E39" s="1220" t="s">
        <v>1265</v>
      </c>
      <c r="F39" s="1221" t="s">
        <v>1266</v>
      </c>
      <c r="V39" s="1278">
        <v>20.2</v>
      </c>
      <c r="W39" s="1262">
        <v>1.92</v>
      </c>
      <c r="X39" s="1283">
        <v>94.274999999999991</v>
      </c>
      <c r="Y39" s="1272">
        <v>513.18966018007575</v>
      </c>
      <c r="Z39" s="1255" t="s">
        <v>1058</v>
      </c>
      <c r="AA39" s="1277">
        <v>6.6063999999999998</v>
      </c>
      <c r="AB39" s="1261">
        <v>12.8</v>
      </c>
      <c r="AC39" s="1294">
        <v>1.1701396957412937</v>
      </c>
      <c r="AD39" s="1271" t="s">
        <v>1058</v>
      </c>
      <c r="AE39" s="1271" t="s">
        <v>1058</v>
      </c>
      <c r="AF39" s="1254">
        <v>93.651062130915719</v>
      </c>
      <c r="AG39" s="1282">
        <v>141.15100000000001</v>
      </c>
      <c r="AH39" s="1290">
        <v>4</v>
      </c>
      <c r="AI39" s="1290">
        <v>2</v>
      </c>
      <c r="AJ39" s="1290">
        <v>2</v>
      </c>
      <c r="AK39" s="1290">
        <v>1</v>
      </c>
      <c r="AL39" s="1290">
        <v>1</v>
      </c>
      <c r="AM39" s="1290">
        <v>2</v>
      </c>
      <c r="AN39" s="1290">
        <v>3</v>
      </c>
      <c r="AO39" s="1290">
        <v>2</v>
      </c>
      <c r="AP39" s="1253">
        <v>108</v>
      </c>
      <c r="AQ39" s="1290"/>
      <c r="AR39" s="1290">
        <v>2</v>
      </c>
      <c r="AS39" s="1290">
        <v>5</v>
      </c>
      <c r="AT39" s="1290">
        <v>2</v>
      </c>
      <c r="AU39" s="1290"/>
      <c r="AV39" s="1133">
        <f t="shared" si="84"/>
        <v>3.81</v>
      </c>
      <c r="AW39" s="1134">
        <f t="shared" si="85"/>
        <v>1.25</v>
      </c>
      <c r="AX39" s="1134">
        <f t="shared" si="86"/>
        <v>0.15</v>
      </c>
      <c r="AY39" s="1135">
        <f t="shared" si="87"/>
        <v>1.92</v>
      </c>
      <c r="AZ39" s="1136">
        <f t="shared" si="88"/>
        <v>0.99864362054166789</v>
      </c>
      <c r="BA39" s="1137">
        <f t="shared" si="89"/>
        <v>0.89993809999999996</v>
      </c>
      <c r="BB39" s="956">
        <f t="shared" si="90"/>
        <v>1.06</v>
      </c>
      <c r="BC39" s="1138">
        <f t="shared" si="91"/>
        <v>1.1000000000000001</v>
      </c>
      <c r="BD39" s="1139">
        <f t="shared" si="92"/>
        <v>94.274999999999991</v>
      </c>
      <c r="BE39" s="1138">
        <f t="shared" si="93"/>
        <v>0.46256782894350301</v>
      </c>
      <c r="BF39" s="1140">
        <f t="shared" si="94"/>
        <v>1</v>
      </c>
      <c r="BG39" s="1137">
        <f t="shared" si="95"/>
        <v>0.03</v>
      </c>
      <c r="BH39" s="956">
        <f t="shared" si="96"/>
        <v>1.35</v>
      </c>
      <c r="BI39" s="956">
        <f t="shared" si="97"/>
        <v>1.08</v>
      </c>
      <c r="BJ39" s="956">
        <f t="shared" si="98"/>
        <v>0</v>
      </c>
      <c r="BK39" s="956">
        <f t="shared" si="99"/>
        <v>1.08</v>
      </c>
      <c r="BL39" s="956">
        <f t="shared" si="100"/>
        <v>0</v>
      </c>
      <c r="BM39" s="1141">
        <f t="shared" si="101"/>
        <v>513.18966018007575</v>
      </c>
      <c r="BN39" s="1142">
        <f t="shared" si="102"/>
        <v>0.99999999272999585</v>
      </c>
      <c r="BO39" s="1143">
        <f t="shared" si="103"/>
        <v>0.43227500000000002</v>
      </c>
      <c r="BP39" s="1144">
        <f t="shared" si="104"/>
        <v>1</v>
      </c>
      <c r="BQ39" s="1134">
        <f t="shared" si="105"/>
        <v>0.9</v>
      </c>
      <c r="BR39" s="1145" t="str">
        <f t="shared" si="106"/>
        <v>.</v>
      </c>
      <c r="BS39" s="1146" t="e">
        <f t="shared" si="107"/>
        <v>#VALUE!</v>
      </c>
      <c r="BT39" s="1147">
        <f>VLOOKUP(AP39,'CROP FACTORS'!$C$5:$N$130,7,FALSE)</f>
        <v>5.5</v>
      </c>
      <c r="BU39" s="1148">
        <f>VLOOKUP(AP39,'CROP FACTORS'!$C$5:$P$130,8,FALSE)</f>
        <v>2</v>
      </c>
      <c r="BV39" s="1149">
        <f t="shared" si="108"/>
        <v>6.6063999999999998</v>
      </c>
      <c r="BW39" s="1150">
        <f t="shared" si="109"/>
        <v>0.85811674698808993</v>
      </c>
      <c r="BX39" s="1137">
        <f>VLOOKUP(AP39,'CROP FACTORS'!$C$5:$N$130,10,FALSE)</f>
        <v>12</v>
      </c>
      <c r="BY39" s="1138">
        <f t="shared" si="110"/>
        <v>70.512592799999993</v>
      </c>
      <c r="BZ39" s="956">
        <f t="shared" si="111"/>
        <v>0.01</v>
      </c>
      <c r="CA39" s="956">
        <f t="shared" si="112"/>
        <v>0.99</v>
      </c>
      <c r="CB39" s="1148">
        <f t="shared" si="113"/>
        <v>71.85289616394239</v>
      </c>
      <c r="CC39" s="1148">
        <f t="shared" si="114"/>
        <v>70.505541540719989</v>
      </c>
      <c r="CD39" s="956">
        <f t="shared" si="115"/>
        <v>140</v>
      </c>
      <c r="CE39" s="956">
        <f t="shared" si="116"/>
        <v>90000</v>
      </c>
      <c r="CF39" s="956">
        <f t="shared" si="117"/>
        <v>1</v>
      </c>
      <c r="CG39" s="956">
        <f t="shared" si="118"/>
        <v>0.02</v>
      </c>
      <c r="CH39" s="956">
        <f t="shared" si="119"/>
        <v>91728</v>
      </c>
      <c r="CI39" s="956">
        <f t="shared" si="120"/>
        <v>91800</v>
      </c>
      <c r="CJ39" s="1138">
        <f t="shared" si="121"/>
        <v>1.25</v>
      </c>
      <c r="CK39" s="1138">
        <f t="shared" si="122"/>
        <v>2.1</v>
      </c>
      <c r="CL39" s="1138">
        <f t="shared" si="123"/>
        <v>1.25</v>
      </c>
      <c r="CM39" s="1138">
        <f t="shared" si="124"/>
        <v>1.25</v>
      </c>
      <c r="CN39" s="1151">
        <f t="shared" si="125"/>
        <v>12.8</v>
      </c>
      <c r="CO39" s="1138">
        <f t="shared" si="126"/>
        <v>0.98536375610261284</v>
      </c>
      <c r="CP39" s="1138">
        <f t="shared" si="127"/>
        <v>0.98563426590796765</v>
      </c>
      <c r="CQ39" s="1152">
        <f t="shared" si="128"/>
        <v>0.98536375610261284</v>
      </c>
      <c r="CR39" s="1153">
        <f t="shared" si="129"/>
        <v>0.98563426590796765</v>
      </c>
      <c r="CS39" s="1137">
        <f t="shared" si="130"/>
        <v>0.79400000000000004</v>
      </c>
      <c r="CT39" s="956">
        <f t="shared" si="131"/>
        <v>88.025000000000006</v>
      </c>
      <c r="CU39" s="956">
        <f t="shared" si="132"/>
        <v>-12.061</v>
      </c>
      <c r="CV39" s="956">
        <f t="shared" si="133"/>
        <v>0</v>
      </c>
      <c r="CW39" s="956">
        <f t="shared" si="134"/>
        <v>9.3587152000000007</v>
      </c>
      <c r="CX39" s="956">
        <f t="shared" si="135"/>
        <v>-10.275524000000001</v>
      </c>
      <c r="CY39" s="1154">
        <f t="shared" si="136"/>
        <v>1.1701396957412937</v>
      </c>
      <c r="CZ39" s="1155">
        <f t="shared" si="137"/>
        <v>0.99399857540133307</v>
      </c>
      <c r="DA39" s="1137" t="e">
        <f>MIN(VLOOKUP(AP39,'CROP FACTORS'!$C$5:$N$130,2,FALSE),VLOOKUP(AQ39,'CROP FACTORS'!$C$5:$N$130,2,FALSE))</f>
        <v>#N/A</v>
      </c>
      <c r="DB39" s="956" t="e">
        <f>MIN(VLOOKUP(AP39,'CROP FACTORS'!$C$5:$N$130,4,FALSE),VLOOKUP(AQ39,'CROP FACTORS'!$C$5:$N$130,4,FALSE))</f>
        <v>#N/A</v>
      </c>
      <c r="DC39" s="1156" t="e">
        <f t="shared" si="138"/>
        <v>#N/A</v>
      </c>
      <c r="DD39" s="1138">
        <f t="shared" si="139"/>
        <v>1.07</v>
      </c>
      <c r="DE39" s="1157" t="str">
        <f t="shared" si="140"/>
        <v>.</v>
      </c>
      <c r="DF39" s="1138" t="e">
        <f t="shared" si="141"/>
        <v>#N/A</v>
      </c>
      <c r="DG39" s="1158" t="e">
        <f t="shared" si="142"/>
        <v>#N/A</v>
      </c>
      <c r="DH39" s="1159" t="str">
        <f t="shared" si="143"/>
        <v>.</v>
      </c>
      <c r="DI39" s="1153" t="e">
        <f t="shared" si="144"/>
        <v>#VALUE!</v>
      </c>
      <c r="DJ39" s="1133">
        <f t="shared" si="145"/>
        <v>5.8</v>
      </c>
      <c r="DK39" s="1160">
        <f t="shared" si="146"/>
        <v>2.9</v>
      </c>
      <c r="DL39" s="1134">
        <f t="shared" si="147"/>
        <v>2.1</v>
      </c>
      <c r="DM39" s="1161">
        <f t="shared" si="148"/>
        <v>93.651062130915719</v>
      </c>
      <c r="DN39" s="1144">
        <f t="shared" si="149"/>
        <v>52.142000000000003</v>
      </c>
      <c r="DO39" s="1162">
        <f t="shared" si="150"/>
        <v>0.73909412952594444</v>
      </c>
      <c r="DP39" s="1163">
        <f t="shared" si="151"/>
        <v>0.73909412952594444</v>
      </c>
      <c r="DQ39" s="1133">
        <f t="shared" si="152"/>
        <v>1.0541</v>
      </c>
      <c r="DR39" s="1134">
        <f t="shared" si="153"/>
        <v>-9.8099999999999993E-3</v>
      </c>
      <c r="DS39" s="1164">
        <f t="shared" si="154"/>
        <v>141.15100000000001</v>
      </c>
      <c r="DT39" s="1146">
        <f t="shared" si="155"/>
        <v>0.79015221717292661</v>
      </c>
      <c r="DU39" s="1165">
        <f t="shared" si="156"/>
        <v>0.99864362054166789</v>
      </c>
      <c r="DV39" s="1166">
        <f t="shared" si="157"/>
        <v>1</v>
      </c>
      <c r="DW39" s="1166">
        <f t="shared" si="158"/>
        <v>0.99999999272999585</v>
      </c>
      <c r="DX39" s="1166"/>
      <c r="DY39" s="1166">
        <f t="shared" si="159"/>
        <v>0.85811674698808993</v>
      </c>
      <c r="DZ39" s="1166">
        <f t="shared" si="160"/>
        <v>0.98536375610261284</v>
      </c>
      <c r="EA39" s="1138"/>
      <c r="EB39" s="1166">
        <f t="shared" si="161"/>
        <v>0.99399857540133307</v>
      </c>
      <c r="EC39" s="1166"/>
      <c r="ED39" s="1138"/>
      <c r="EE39" s="1166">
        <f t="shared" si="162"/>
        <v>0.73909412952594444</v>
      </c>
      <c r="EF39" s="1140">
        <f t="shared" si="163"/>
        <v>0.79015221717292661</v>
      </c>
      <c r="EG39" s="1159">
        <f t="shared" si="164"/>
        <v>7.3653690384625703</v>
      </c>
      <c r="EH39" s="1167">
        <f t="shared" si="165"/>
        <v>8</v>
      </c>
      <c r="EI39" s="1312">
        <f t="shared" si="166"/>
        <v>0.92067112980782129</v>
      </c>
      <c r="EJ39" s="1168">
        <f t="shared" si="167"/>
        <v>1.9939985754013332</v>
      </c>
      <c r="EK39" s="1169">
        <f t="shared" si="168"/>
        <v>2</v>
      </c>
      <c r="EL39" s="1170">
        <f t="shared" si="169"/>
        <v>0.99699928770066659</v>
      </c>
      <c r="EM39" s="1159">
        <f t="shared" si="170"/>
        <v>0.85811674698808993</v>
      </c>
      <c r="EN39" s="1167">
        <f t="shared" si="171"/>
        <v>1</v>
      </c>
      <c r="EO39" s="1171">
        <f t="shared" si="172"/>
        <v>0.85811674698808993</v>
      </c>
      <c r="EP39" s="1168">
        <f t="shared" si="173"/>
        <v>2.737737742797608</v>
      </c>
      <c r="EQ39" s="1169">
        <f t="shared" si="174"/>
        <v>3</v>
      </c>
      <c r="ER39" s="1146">
        <f t="shared" si="175"/>
        <v>0.91257924759920261</v>
      </c>
      <c r="ES39" s="1159">
        <f t="shared" si="176"/>
        <v>1.7755159732755394</v>
      </c>
      <c r="ET39" s="1167">
        <f t="shared" si="177"/>
        <v>2</v>
      </c>
      <c r="EU39" s="1155">
        <f t="shared" si="178"/>
        <v>0.88775798663776972</v>
      </c>
      <c r="EV39" s="1159">
        <f t="shared" si="179"/>
        <v>2.6336327202636296</v>
      </c>
      <c r="EW39" s="1167">
        <f t="shared" si="180"/>
        <v>3</v>
      </c>
      <c r="EX39" s="1155">
        <f t="shared" si="181"/>
        <v>0.87787757342120987</v>
      </c>
    </row>
    <row r="40" spans="2:154">
      <c r="B40" s="1233" t="s">
        <v>1272</v>
      </c>
      <c r="C40" s="1219">
        <v>3</v>
      </c>
      <c r="D40" s="1220" t="s">
        <v>1264</v>
      </c>
      <c r="E40" s="1220" t="s">
        <v>1265</v>
      </c>
      <c r="F40" s="1221" t="s">
        <v>1266</v>
      </c>
      <c r="V40" s="1278">
        <v>20.2</v>
      </c>
      <c r="W40" s="1262">
        <v>2.145</v>
      </c>
      <c r="X40" s="1283">
        <v>93.9</v>
      </c>
      <c r="Y40" s="1272">
        <v>680.05348725348722</v>
      </c>
      <c r="Z40" s="1255" t="s">
        <v>1058</v>
      </c>
      <c r="AA40" s="1277">
        <v>6.6985999999999999</v>
      </c>
      <c r="AB40" s="1261">
        <v>24.2</v>
      </c>
      <c r="AC40" s="1294">
        <v>1.1521015062373738</v>
      </c>
      <c r="AD40" s="1271" t="s">
        <v>1058</v>
      </c>
      <c r="AE40" s="1271" t="s">
        <v>1058</v>
      </c>
      <c r="AF40" s="1254">
        <v>106.21442246227294</v>
      </c>
      <c r="AG40" s="1282">
        <v>114.172</v>
      </c>
      <c r="AH40" s="1290">
        <v>4</v>
      </c>
      <c r="AI40" s="1290">
        <v>2</v>
      </c>
      <c r="AJ40" s="1290">
        <v>2</v>
      </c>
      <c r="AK40" s="1290">
        <v>1</v>
      </c>
      <c r="AL40" s="1290">
        <v>1</v>
      </c>
      <c r="AM40" s="1290">
        <v>2</v>
      </c>
      <c r="AN40" s="1290">
        <v>3</v>
      </c>
      <c r="AO40" s="1290">
        <v>2</v>
      </c>
      <c r="AP40" s="1253">
        <v>108</v>
      </c>
      <c r="AQ40" s="1290"/>
      <c r="AR40" s="1290">
        <v>2</v>
      </c>
      <c r="AS40" s="1290">
        <v>5</v>
      </c>
      <c r="AT40" s="1290">
        <v>2</v>
      </c>
      <c r="AU40" s="1290"/>
      <c r="AV40" s="1133">
        <f t="shared" si="84"/>
        <v>3.81</v>
      </c>
      <c r="AW40" s="1134">
        <f t="shared" si="85"/>
        <v>1.25</v>
      </c>
      <c r="AX40" s="1134">
        <f t="shared" si="86"/>
        <v>0.15</v>
      </c>
      <c r="AY40" s="1135">
        <f t="shared" si="87"/>
        <v>2.145</v>
      </c>
      <c r="AZ40" s="1136">
        <f t="shared" si="88"/>
        <v>0.9996040695034224</v>
      </c>
      <c r="BA40" s="1137">
        <f t="shared" si="89"/>
        <v>0.89993809999999996</v>
      </c>
      <c r="BB40" s="956">
        <f t="shared" si="90"/>
        <v>1.06</v>
      </c>
      <c r="BC40" s="1138">
        <f t="shared" si="91"/>
        <v>1.1000000000000001</v>
      </c>
      <c r="BD40" s="1139">
        <f t="shared" si="92"/>
        <v>93.9</v>
      </c>
      <c r="BE40" s="1138">
        <f t="shared" si="93"/>
        <v>0.47200657914505662</v>
      </c>
      <c r="BF40" s="1140">
        <f t="shared" si="94"/>
        <v>1</v>
      </c>
      <c r="BG40" s="1137">
        <f t="shared" si="95"/>
        <v>0.03</v>
      </c>
      <c r="BH40" s="956">
        <f t="shared" si="96"/>
        <v>1.35</v>
      </c>
      <c r="BI40" s="956">
        <f t="shared" si="97"/>
        <v>1.08</v>
      </c>
      <c r="BJ40" s="956">
        <f t="shared" si="98"/>
        <v>0</v>
      </c>
      <c r="BK40" s="956">
        <f t="shared" si="99"/>
        <v>1.08</v>
      </c>
      <c r="BL40" s="956">
        <f t="shared" si="100"/>
        <v>0</v>
      </c>
      <c r="BM40" s="1141">
        <f t="shared" si="101"/>
        <v>680.05348725348722</v>
      </c>
      <c r="BN40" s="1142">
        <f t="shared" si="102"/>
        <v>0.99999999999508216</v>
      </c>
      <c r="BO40" s="1143">
        <f t="shared" si="103"/>
        <v>0.43227500000000002</v>
      </c>
      <c r="BP40" s="1144">
        <f t="shared" si="104"/>
        <v>1</v>
      </c>
      <c r="BQ40" s="1134">
        <f t="shared" si="105"/>
        <v>0.9</v>
      </c>
      <c r="BR40" s="1145" t="str">
        <f t="shared" si="106"/>
        <v>.</v>
      </c>
      <c r="BS40" s="1146" t="e">
        <f t="shared" si="107"/>
        <v>#VALUE!</v>
      </c>
      <c r="BT40" s="1147">
        <f>VLOOKUP(AP40,'CROP FACTORS'!$C$5:$N$130,7,FALSE)</f>
        <v>5.5</v>
      </c>
      <c r="BU40" s="1148">
        <f>VLOOKUP(AP40,'CROP FACTORS'!$C$5:$P$130,8,FALSE)</f>
        <v>2</v>
      </c>
      <c r="BV40" s="1149">
        <f t="shared" si="108"/>
        <v>6.6985999999999999</v>
      </c>
      <c r="BW40" s="1150">
        <f t="shared" si="109"/>
        <v>0.83562089385406835</v>
      </c>
      <c r="BX40" s="1137">
        <f>VLOOKUP(AP40,'CROP FACTORS'!$C$5:$N$130,10,FALSE)</f>
        <v>12</v>
      </c>
      <c r="BY40" s="1138">
        <f t="shared" si="110"/>
        <v>70.512592799999993</v>
      </c>
      <c r="BZ40" s="956">
        <f t="shared" si="111"/>
        <v>0.01</v>
      </c>
      <c r="CA40" s="956">
        <f t="shared" si="112"/>
        <v>0.99</v>
      </c>
      <c r="CB40" s="1148">
        <f t="shared" si="113"/>
        <v>72.009962964404394</v>
      </c>
      <c r="CC40" s="1148">
        <f t="shared" si="114"/>
        <v>70.505541540719989</v>
      </c>
      <c r="CD40" s="956">
        <f t="shared" si="115"/>
        <v>140</v>
      </c>
      <c r="CE40" s="956">
        <f t="shared" si="116"/>
        <v>90000</v>
      </c>
      <c r="CF40" s="956">
        <f t="shared" si="117"/>
        <v>1</v>
      </c>
      <c r="CG40" s="956">
        <f t="shared" si="118"/>
        <v>0.02</v>
      </c>
      <c r="CH40" s="956">
        <f t="shared" si="119"/>
        <v>91930.5</v>
      </c>
      <c r="CI40" s="956">
        <f t="shared" si="120"/>
        <v>91800</v>
      </c>
      <c r="CJ40" s="1138">
        <f t="shared" si="121"/>
        <v>1.25</v>
      </c>
      <c r="CK40" s="1138">
        <f t="shared" si="122"/>
        <v>2.1</v>
      </c>
      <c r="CL40" s="1138">
        <f t="shared" si="123"/>
        <v>1.25</v>
      </c>
      <c r="CM40" s="1138">
        <f t="shared" si="124"/>
        <v>1.25</v>
      </c>
      <c r="CN40" s="1151">
        <f t="shared" si="125"/>
        <v>24.2</v>
      </c>
      <c r="CO40" s="1138">
        <f t="shared" si="126"/>
        <v>1</v>
      </c>
      <c r="CP40" s="1138">
        <f t="shared" si="127"/>
        <v>1</v>
      </c>
      <c r="CQ40" s="1152">
        <f t="shared" si="128"/>
        <v>1</v>
      </c>
      <c r="CR40" s="1153">
        <f t="shared" si="129"/>
        <v>1</v>
      </c>
      <c r="CS40" s="1137">
        <f t="shared" si="130"/>
        <v>0.79400000000000004</v>
      </c>
      <c r="CT40" s="956">
        <f t="shared" si="131"/>
        <v>88.025000000000006</v>
      </c>
      <c r="CU40" s="956">
        <f t="shared" si="132"/>
        <v>-12.061</v>
      </c>
      <c r="CV40" s="956">
        <f t="shared" si="133"/>
        <v>0</v>
      </c>
      <c r="CW40" s="956">
        <f t="shared" si="134"/>
        <v>9.3587152000000007</v>
      </c>
      <c r="CX40" s="956">
        <f t="shared" si="135"/>
        <v>-10.275524000000001</v>
      </c>
      <c r="CY40" s="1154">
        <f t="shared" si="136"/>
        <v>1.1521015062373738</v>
      </c>
      <c r="CZ40" s="1155">
        <f t="shared" si="137"/>
        <v>0.99399990677221473</v>
      </c>
      <c r="DA40" s="1137" t="e">
        <f>MIN(VLOOKUP(AP40,'CROP FACTORS'!$C$5:$N$130,2,FALSE),VLOOKUP(AQ40,'CROP FACTORS'!$C$5:$N$130,2,FALSE))</f>
        <v>#N/A</v>
      </c>
      <c r="DB40" s="956" t="e">
        <f>MIN(VLOOKUP(AP40,'CROP FACTORS'!$C$5:$N$130,4,FALSE),VLOOKUP(AQ40,'CROP FACTORS'!$C$5:$N$130,4,FALSE))</f>
        <v>#N/A</v>
      </c>
      <c r="DC40" s="1156" t="e">
        <f t="shared" si="138"/>
        <v>#N/A</v>
      </c>
      <c r="DD40" s="1138">
        <f t="shared" si="139"/>
        <v>1.07</v>
      </c>
      <c r="DE40" s="1157" t="str">
        <f t="shared" si="140"/>
        <v>.</v>
      </c>
      <c r="DF40" s="1138" t="e">
        <f t="shared" si="141"/>
        <v>#N/A</v>
      </c>
      <c r="DG40" s="1158" t="e">
        <f t="shared" si="142"/>
        <v>#N/A</v>
      </c>
      <c r="DH40" s="1159" t="str">
        <f t="shared" si="143"/>
        <v>.</v>
      </c>
      <c r="DI40" s="1153" t="e">
        <f t="shared" si="144"/>
        <v>#VALUE!</v>
      </c>
      <c r="DJ40" s="1133">
        <f t="shared" si="145"/>
        <v>5.8</v>
      </c>
      <c r="DK40" s="1160">
        <f t="shared" si="146"/>
        <v>2.9</v>
      </c>
      <c r="DL40" s="1134">
        <f t="shared" si="147"/>
        <v>2.1</v>
      </c>
      <c r="DM40" s="1161">
        <f t="shared" si="148"/>
        <v>106.21442246227294</v>
      </c>
      <c r="DN40" s="1144">
        <f t="shared" si="149"/>
        <v>52.142000000000003</v>
      </c>
      <c r="DO40" s="1162">
        <f t="shared" si="150"/>
        <v>0.84846847458935659</v>
      </c>
      <c r="DP40" s="1163">
        <f t="shared" si="151"/>
        <v>0.84846847458935659</v>
      </c>
      <c r="DQ40" s="1133">
        <f t="shared" si="152"/>
        <v>1.0541</v>
      </c>
      <c r="DR40" s="1134">
        <f t="shared" si="153"/>
        <v>-9.8099999999999993E-3</v>
      </c>
      <c r="DS40" s="1164">
        <f t="shared" si="154"/>
        <v>114.172</v>
      </c>
      <c r="DT40" s="1146">
        <f t="shared" si="155"/>
        <v>0.71017786456894383</v>
      </c>
      <c r="DU40" s="1165">
        <f t="shared" si="156"/>
        <v>0.9996040695034224</v>
      </c>
      <c r="DV40" s="1166">
        <f t="shared" si="157"/>
        <v>1</v>
      </c>
      <c r="DW40" s="1166">
        <f t="shared" si="158"/>
        <v>0.99999999999508216</v>
      </c>
      <c r="DX40" s="1166"/>
      <c r="DY40" s="1166">
        <f t="shared" si="159"/>
        <v>0.83562089385406835</v>
      </c>
      <c r="DZ40" s="1166">
        <f t="shared" si="160"/>
        <v>1</v>
      </c>
      <c r="EA40" s="1138"/>
      <c r="EB40" s="1166">
        <f t="shared" si="161"/>
        <v>0.99399990677221473</v>
      </c>
      <c r="EC40" s="1166"/>
      <c r="ED40" s="1138"/>
      <c r="EE40" s="1166">
        <f t="shared" si="162"/>
        <v>0.84846847458935659</v>
      </c>
      <c r="EF40" s="1140">
        <f t="shared" si="163"/>
        <v>0.71017786456894383</v>
      </c>
      <c r="EG40" s="1159">
        <f t="shared" si="164"/>
        <v>7.3878712092830892</v>
      </c>
      <c r="EH40" s="1167">
        <f t="shared" si="165"/>
        <v>8</v>
      </c>
      <c r="EI40" s="1312">
        <f t="shared" si="166"/>
        <v>0.92348390116038614</v>
      </c>
      <c r="EJ40" s="1168">
        <f t="shared" si="167"/>
        <v>1.9939999067722147</v>
      </c>
      <c r="EK40" s="1169">
        <f t="shared" si="168"/>
        <v>2</v>
      </c>
      <c r="EL40" s="1170">
        <f t="shared" si="169"/>
        <v>0.99699995338610736</v>
      </c>
      <c r="EM40" s="1159">
        <f t="shared" si="170"/>
        <v>0.83562089385406835</v>
      </c>
      <c r="EN40" s="1167">
        <f t="shared" si="171"/>
        <v>1</v>
      </c>
      <c r="EO40" s="1171">
        <f t="shared" si="172"/>
        <v>0.83562089385406835</v>
      </c>
      <c r="EP40" s="1168">
        <f t="shared" si="173"/>
        <v>2.8480725440878611</v>
      </c>
      <c r="EQ40" s="1169">
        <f t="shared" si="174"/>
        <v>3</v>
      </c>
      <c r="ER40" s="1146">
        <f t="shared" si="175"/>
        <v>0.94935751469595375</v>
      </c>
      <c r="ES40" s="1159">
        <f t="shared" si="176"/>
        <v>1.7101778645689438</v>
      </c>
      <c r="ET40" s="1167">
        <f t="shared" si="177"/>
        <v>2</v>
      </c>
      <c r="EU40" s="1155">
        <f t="shared" si="178"/>
        <v>0.85508893228447191</v>
      </c>
      <c r="EV40" s="1159">
        <f t="shared" si="179"/>
        <v>2.545798758423012</v>
      </c>
      <c r="EW40" s="1167">
        <f t="shared" si="180"/>
        <v>3</v>
      </c>
      <c r="EX40" s="1155">
        <f t="shared" si="181"/>
        <v>0.84859958614100395</v>
      </c>
    </row>
    <row r="41" spans="2:154">
      <c r="B41" s="1233" t="s">
        <v>1272</v>
      </c>
      <c r="C41" s="1219">
        <v>4</v>
      </c>
      <c r="D41" s="1220" t="s">
        <v>1264</v>
      </c>
      <c r="E41" s="1220" t="s">
        <v>1265</v>
      </c>
      <c r="F41" s="1221" t="s">
        <v>1266</v>
      </c>
      <c r="V41" s="1278">
        <v>17.600000000000001</v>
      </c>
      <c r="W41" s="1262">
        <v>2.04</v>
      </c>
      <c r="X41" s="1283">
        <v>92.699999999999989</v>
      </c>
      <c r="Y41" s="1272">
        <v>778.38215488215508</v>
      </c>
      <c r="Z41" s="1255" t="s">
        <v>1058</v>
      </c>
      <c r="AA41" s="1277">
        <v>6.3298000000000005</v>
      </c>
      <c r="AB41" s="1261">
        <v>14</v>
      </c>
      <c r="AC41" s="1294">
        <v>1.1854838699296935</v>
      </c>
      <c r="AD41" s="1271" t="s">
        <v>1058</v>
      </c>
      <c r="AE41" s="1271" t="s">
        <v>1058</v>
      </c>
      <c r="AF41" s="1254">
        <v>116.16752926086258</v>
      </c>
      <c r="AG41" s="1282">
        <v>103.61499999999998</v>
      </c>
      <c r="AH41" s="1290">
        <v>4</v>
      </c>
      <c r="AI41" s="1290">
        <v>2</v>
      </c>
      <c r="AJ41" s="1290">
        <v>2</v>
      </c>
      <c r="AK41" s="1290">
        <v>1</v>
      </c>
      <c r="AL41" s="1290">
        <v>1</v>
      </c>
      <c r="AM41" s="1290">
        <v>2</v>
      </c>
      <c r="AN41" s="1290">
        <v>3</v>
      </c>
      <c r="AO41" s="1290">
        <v>2</v>
      </c>
      <c r="AP41" s="1253">
        <v>108</v>
      </c>
      <c r="AQ41" s="1290"/>
      <c r="AR41" s="1290">
        <v>2</v>
      </c>
      <c r="AS41" s="1290">
        <v>5</v>
      </c>
      <c r="AT41" s="1290">
        <v>2</v>
      </c>
      <c r="AU41" s="1290"/>
      <c r="AV41" s="1133">
        <f t="shared" si="84"/>
        <v>3.81</v>
      </c>
      <c r="AW41" s="1134">
        <f t="shared" si="85"/>
        <v>1.25</v>
      </c>
      <c r="AX41" s="1134">
        <f t="shared" si="86"/>
        <v>0.15</v>
      </c>
      <c r="AY41" s="1135">
        <f t="shared" si="87"/>
        <v>2.04</v>
      </c>
      <c r="AZ41" s="1136">
        <f t="shared" si="88"/>
        <v>0.99929654573466964</v>
      </c>
      <c r="BA41" s="1137">
        <f t="shared" si="89"/>
        <v>0.89993809999999996</v>
      </c>
      <c r="BB41" s="956">
        <f t="shared" si="90"/>
        <v>1.06</v>
      </c>
      <c r="BC41" s="1138">
        <f t="shared" si="91"/>
        <v>1.1000000000000001</v>
      </c>
      <c r="BD41" s="1139">
        <f t="shared" si="92"/>
        <v>92.699999999999989</v>
      </c>
      <c r="BE41" s="1138">
        <f t="shared" si="93"/>
        <v>0.50174885589425477</v>
      </c>
      <c r="BF41" s="1140">
        <f t="shared" si="94"/>
        <v>1</v>
      </c>
      <c r="BG41" s="1137">
        <f t="shared" si="95"/>
        <v>0.03</v>
      </c>
      <c r="BH41" s="956">
        <f t="shared" si="96"/>
        <v>1.35</v>
      </c>
      <c r="BI41" s="956">
        <f t="shared" si="97"/>
        <v>1.08</v>
      </c>
      <c r="BJ41" s="956">
        <f t="shared" si="98"/>
        <v>0</v>
      </c>
      <c r="BK41" s="956">
        <f t="shared" si="99"/>
        <v>1.08</v>
      </c>
      <c r="BL41" s="956">
        <f t="shared" si="100"/>
        <v>0</v>
      </c>
      <c r="BM41" s="1141">
        <f t="shared" si="101"/>
        <v>778.38215488215508</v>
      </c>
      <c r="BN41" s="1142">
        <f t="shared" si="102"/>
        <v>0.99999999999993339</v>
      </c>
      <c r="BO41" s="1143">
        <f t="shared" si="103"/>
        <v>0.43227500000000002</v>
      </c>
      <c r="BP41" s="1144">
        <f t="shared" si="104"/>
        <v>1</v>
      </c>
      <c r="BQ41" s="1134">
        <f t="shared" si="105"/>
        <v>0.9</v>
      </c>
      <c r="BR41" s="1145" t="str">
        <f t="shared" si="106"/>
        <v>.</v>
      </c>
      <c r="BS41" s="1146" t="e">
        <f t="shared" si="107"/>
        <v>#VALUE!</v>
      </c>
      <c r="BT41" s="1147">
        <f>VLOOKUP(AP41,'CROP FACTORS'!$C$5:$N$130,7,FALSE)</f>
        <v>5.5</v>
      </c>
      <c r="BU41" s="1148">
        <f>VLOOKUP(AP41,'CROP FACTORS'!$C$5:$P$130,8,FALSE)</f>
        <v>2</v>
      </c>
      <c r="BV41" s="1149">
        <f t="shared" si="108"/>
        <v>6.3298000000000005</v>
      </c>
      <c r="BW41" s="1150">
        <f t="shared" si="109"/>
        <v>0.91752907975483033</v>
      </c>
      <c r="BX41" s="1137">
        <f>VLOOKUP(AP41,'CROP FACTORS'!$C$5:$N$130,10,FALSE)</f>
        <v>12</v>
      </c>
      <c r="BY41" s="1138">
        <f t="shared" si="110"/>
        <v>70.512592799999993</v>
      </c>
      <c r="BZ41" s="956">
        <f t="shared" si="111"/>
        <v>0.01</v>
      </c>
      <c r="CA41" s="956">
        <f t="shared" si="112"/>
        <v>0.99</v>
      </c>
      <c r="CB41" s="1148">
        <f t="shared" si="113"/>
        <v>71.936665124188792</v>
      </c>
      <c r="CC41" s="1148">
        <f t="shared" si="114"/>
        <v>70.505541540719989</v>
      </c>
      <c r="CD41" s="956">
        <f t="shared" si="115"/>
        <v>140</v>
      </c>
      <c r="CE41" s="956">
        <f t="shared" si="116"/>
        <v>90000</v>
      </c>
      <c r="CF41" s="956">
        <f t="shared" si="117"/>
        <v>1</v>
      </c>
      <c r="CG41" s="956">
        <f t="shared" si="118"/>
        <v>0.02</v>
      </c>
      <c r="CH41" s="956">
        <f t="shared" si="119"/>
        <v>91836</v>
      </c>
      <c r="CI41" s="956">
        <f t="shared" si="120"/>
        <v>91800</v>
      </c>
      <c r="CJ41" s="1138">
        <f t="shared" si="121"/>
        <v>1.25</v>
      </c>
      <c r="CK41" s="1138">
        <f t="shared" si="122"/>
        <v>2.1</v>
      </c>
      <c r="CL41" s="1138">
        <f t="shared" si="123"/>
        <v>1.25</v>
      </c>
      <c r="CM41" s="1138">
        <f t="shared" si="124"/>
        <v>1.25</v>
      </c>
      <c r="CN41" s="1151">
        <f t="shared" si="125"/>
        <v>14</v>
      </c>
      <c r="CO41" s="1138">
        <f t="shared" si="126"/>
        <v>0.98882190267316394</v>
      </c>
      <c r="CP41" s="1138">
        <f t="shared" si="127"/>
        <v>0.98904184526901429</v>
      </c>
      <c r="CQ41" s="1152">
        <f t="shared" si="128"/>
        <v>0.98882190267316394</v>
      </c>
      <c r="CR41" s="1153">
        <f t="shared" si="129"/>
        <v>0.98904184526901429</v>
      </c>
      <c r="CS41" s="1137">
        <f t="shared" si="130"/>
        <v>0.79400000000000004</v>
      </c>
      <c r="CT41" s="956">
        <f t="shared" si="131"/>
        <v>88.025000000000006</v>
      </c>
      <c r="CU41" s="956">
        <f t="shared" si="132"/>
        <v>-12.061</v>
      </c>
      <c r="CV41" s="956">
        <f t="shared" si="133"/>
        <v>0</v>
      </c>
      <c r="CW41" s="956">
        <f t="shared" si="134"/>
        <v>9.3587152000000007</v>
      </c>
      <c r="CX41" s="956">
        <f t="shared" si="135"/>
        <v>-10.275524000000001</v>
      </c>
      <c r="CY41" s="1154">
        <f t="shared" si="136"/>
        <v>1.1854838699296935</v>
      </c>
      <c r="CZ41" s="1155">
        <f t="shared" si="137"/>
        <v>0.99399024524364643</v>
      </c>
      <c r="DA41" s="1137" t="e">
        <f>MIN(VLOOKUP(AP41,'CROP FACTORS'!$C$5:$N$130,2,FALSE),VLOOKUP(AQ41,'CROP FACTORS'!$C$5:$N$130,2,FALSE))</f>
        <v>#N/A</v>
      </c>
      <c r="DB41" s="956" t="e">
        <f>MIN(VLOOKUP(AP41,'CROP FACTORS'!$C$5:$N$130,4,FALSE),VLOOKUP(AQ41,'CROP FACTORS'!$C$5:$N$130,4,FALSE))</f>
        <v>#N/A</v>
      </c>
      <c r="DC41" s="1156" t="e">
        <f t="shared" si="138"/>
        <v>#N/A</v>
      </c>
      <c r="DD41" s="1138">
        <f t="shared" si="139"/>
        <v>1.07</v>
      </c>
      <c r="DE41" s="1157" t="str">
        <f t="shared" si="140"/>
        <v>.</v>
      </c>
      <c r="DF41" s="1138" t="e">
        <f t="shared" si="141"/>
        <v>#N/A</v>
      </c>
      <c r="DG41" s="1158" t="e">
        <f t="shared" si="142"/>
        <v>#N/A</v>
      </c>
      <c r="DH41" s="1159" t="str">
        <f t="shared" si="143"/>
        <v>.</v>
      </c>
      <c r="DI41" s="1153" t="e">
        <f t="shared" si="144"/>
        <v>#VALUE!</v>
      </c>
      <c r="DJ41" s="1133">
        <f t="shared" si="145"/>
        <v>5.8</v>
      </c>
      <c r="DK41" s="1160">
        <f t="shared" si="146"/>
        <v>2.9</v>
      </c>
      <c r="DL41" s="1134">
        <f t="shared" si="147"/>
        <v>2.1</v>
      </c>
      <c r="DM41" s="1161">
        <f t="shared" si="148"/>
        <v>116.16752926086258</v>
      </c>
      <c r="DN41" s="1144">
        <f t="shared" si="149"/>
        <v>52.142000000000003</v>
      </c>
      <c r="DO41" s="1162">
        <f t="shared" si="150"/>
        <v>0.90721199550255383</v>
      </c>
      <c r="DP41" s="1163">
        <f t="shared" si="151"/>
        <v>0.90721199550255383</v>
      </c>
      <c r="DQ41" s="1133">
        <f t="shared" si="152"/>
        <v>1.0541</v>
      </c>
      <c r="DR41" s="1134">
        <f t="shared" si="153"/>
        <v>-9.8099999999999993E-3</v>
      </c>
      <c r="DS41" s="1164">
        <f t="shared" si="154"/>
        <v>103.61499999999998</v>
      </c>
      <c r="DT41" s="1146">
        <f t="shared" si="155"/>
        <v>0.67265012560196413</v>
      </c>
      <c r="DU41" s="1165">
        <f t="shared" si="156"/>
        <v>0.99929654573466964</v>
      </c>
      <c r="DV41" s="1166">
        <f t="shared" si="157"/>
        <v>1</v>
      </c>
      <c r="DW41" s="1166">
        <f t="shared" si="158"/>
        <v>0.99999999999993339</v>
      </c>
      <c r="DX41" s="1166"/>
      <c r="DY41" s="1166">
        <f t="shared" si="159"/>
        <v>0.91752907975483033</v>
      </c>
      <c r="DZ41" s="1166">
        <f t="shared" si="160"/>
        <v>0.98882190267316394</v>
      </c>
      <c r="EA41" s="1138"/>
      <c r="EB41" s="1166">
        <f t="shared" si="161"/>
        <v>0.99399024524364643</v>
      </c>
      <c r="EC41" s="1166"/>
      <c r="ED41" s="1138"/>
      <c r="EE41" s="1166">
        <f t="shared" si="162"/>
        <v>0.90721199550255383</v>
      </c>
      <c r="EF41" s="1140">
        <f t="shared" si="163"/>
        <v>0.67265012560196413</v>
      </c>
      <c r="EG41" s="1159">
        <f t="shared" si="164"/>
        <v>7.479499894510762</v>
      </c>
      <c r="EH41" s="1167">
        <f t="shared" si="165"/>
        <v>8</v>
      </c>
      <c r="EI41" s="1312">
        <f t="shared" si="166"/>
        <v>0.93493748681384525</v>
      </c>
      <c r="EJ41" s="1168">
        <f t="shared" si="167"/>
        <v>1.9939902452436464</v>
      </c>
      <c r="EK41" s="1169">
        <f t="shared" si="168"/>
        <v>2</v>
      </c>
      <c r="EL41" s="1170">
        <f t="shared" si="169"/>
        <v>0.99699512262182322</v>
      </c>
      <c r="EM41" s="1159">
        <f t="shared" si="170"/>
        <v>0.91752907975483033</v>
      </c>
      <c r="EN41" s="1167">
        <f t="shared" si="171"/>
        <v>1</v>
      </c>
      <c r="EO41" s="1171">
        <f t="shared" si="172"/>
        <v>0.91752907975483033</v>
      </c>
      <c r="EP41" s="1168">
        <f t="shared" si="173"/>
        <v>2.906508541237157</v>
      </c>
      <c r="EQ41" s="1169">
        <f t="shared" si="174"/>
        <v>3</v>
      </c>
      <c r="ER41" s="1146">
        <f t="shared" si="175"/>
        <v>0.96883618041238562</v>
      </c>
      <c r="ES41" s="1159">
        <f t="shared" si="176"/>
        <v>1.6614720282751281</v>
      </c>
      <c r="ET41" s="1167">
        <f t="shared" si="177"/>
        <v>2</v>
      </c>
      <c r="EU41" s="1155">
        <f t="shared" si="178"/>
        <v>0.83073601413756404</v>
      </c>
      <c r="EV41" s="1159">
        <f t="shared" si="179"/>
        <v>2.5790011080299582</v>
      </c>
      <c r="EW41" s="1167">
        <f t="shared" si="180"/>
        <v>3</v>
      </c>
      <c r="EX41" s="1155">
        <f t="shared" si="181"/>
        <v>0.85966703600998606</v>
      </c>
    </row>
    <row r="42" spans="2:154">
      <c r="B42" s="1233" t="s">
        <v>1272</v>
      </c>
      <c r="C42" s="1219">
        <v>5</v>
      </c>
      <c r="D42" s="1220" t="s">
        <v>1264</v>
      </c>
      <c r="E42" s="1220" t="s">
        <v>1265</v>
      </c>
      <c r="F42" s="1221" t="s">
        <v>1266</v>
      </c>
      <c r="V42" s="1278">
        <v>17.600000000000001</v>
      </c>
      <c r="W42" s="1262">
        <v>1.8400000000000003</v>
      </c>
      <c r="X42" s="1283">
        <v>88.733333333333348</v>
      </c>
      <c r="Y42" s="1272">
        <v>681.12102153611602</v>
      </c>
      <c r="Z42" s="1255" t="s">
        <v>1058</v>
      </c>
      <c r="AA42" s="1277">
        <v>6.1454000000000004</v>
      </c>
      <c r="AB42" s="1261">
        <v>14.8</v>
      </c>
      <c r="AC42" s="1294">
        <v>1.2100814010714023</v>
      </c>
      <c r="AD42" s="1271" t="s">
        <v>1058</v>
      </c>
      <c r="AE42" s="1271" t="s">
        <v>1058</v>
      </c>
      <c r="AF42" s="1254">
        <v>144.42868011421206</v>
      </c>
      <c r="AG42" s="1282">
        <v>111.43500000000002</v>
      </c>
      <c r="AH42" s="1290">
        <v>4</v>
      </c>
      <c r="AI42" s="1290">
        <v>2</v>
      </c>
      <c r="AJ42" s="1290">
        <v>2</v>
      </c>
      <c r="AK42" s="1290">
        <v>1</v>
      </c>
      <c r="AL42" s="1290">
        <v>1</v>
      </c>
      <c r="AM42" s="1290">
        <v>2</v>
      </c>
      <c r="AN42" s="1290">
        <v>3</v>
      </c>
      <c r="AO42" s="1290">
        <v>2</v>
      </c>
      <c r="AP42" s="1253">
        <v>108</v>
      </c>
      <c r="AQ42" s="1290"/>
      <c r="AR42" s="1290">
        <v>2</v>
      </c>
      <c r="AS42" s="1290">
        <v>5</v>
      </c>
      <c r="AT42" s="1290">
        <v>2</v>
      </c>
      <c r="AU42" s="1290"/>
      <c r="AV42" s="1133">
        <f t="shared" si="84"/>
        <v>3.81</v>
      </c>
      <c r="AW42" s="1134">
        <f t="shared" si="85"/>
        <v>1.25</v>
      </c>
      <c r="AX42" s="1134">
        <f t="shared" si="86"/>
        <v>0.15</v>
      </c>
      <c r="AY42" s="1135">
        <f t="shared" si="87"/>
        <v>1.8400000000000003</v>
      </c>
      <c r="AZ42" s="1136">
        <f t="shared" si="88"/>
        <v>0.99789939903677716</v>
      </c>
      <c r="BA42" s="1137">
        <f t="shared" si="89"/>
        <v>0.89993809999999996</v>
      </c>
      <c r="BB42" s="956">
        <f t="shared" si="90"/>
        <v>1.06</v>
      </c>
      <c r="BC42" s="1138">
        <f t="shared" si="91"/>
        <v>1.1000000000000001</v>
      </c>
      <c r="BD42" s="1139">
        <f t="shared" si="92"/>
        <v>88.733333333333348</v>
      </c>
      <c r="BE42" s="1138">
        <f t="shared" si="93"/>
        <v>0.59487988036946049</v>
      </c>
      <c r="BF42" s="1140">
        <f t="shared" si="94"/>
        <v>1</v>
      </c>
      <c r="BG42" s="1137">
        <f t="shared" si="95"/>
        <v>0.03</v>
      </c>
      <c r="BH42" s="956">
        <f t="shared" si="96"/>
        <v>1.35</v>
      </c>
      <c r="BI42" s="956">
        <f t="shared" si="97"/>
        <v>1.08</v>
      </c>
      <c r="BJ42" s="956">
        <f t="shared" si="98"/>
        <v>0</v>
      </c>
      <c r="BK42" s="956">
        <f t="shared" si="99"/>
        <v>1.08</v>
      </c>
      <c r="BL42" s="956">
        <f t="shared" si="100"/>
        <v>0</v>
      </c>
      <c r="BM42" s="1141">
        <f t="shared" si="101"/>
        <v>681.12102153611602</v>
      </c>
      <c r="BN42" s="1142">
        <f t="shared" si="102"/>
        <v>0.99999999999530642</v>
      </c>
      <c r="BO42" s="1143">
        <f t="shared" si="103"/>
        <v>0.43227500000000002</v>
      </c>
      <c r="BP42" s="1144">
        <f t="shared" si="104"/>
        <v>1</v>
      </c>
      <c r="BQ42" s="1134">
        <f t="shared" si="105"/>
        <v>0.9</v>
      </c>
      <c r="BR42" s="1145" t="str">
        <f t="shared" si="106"/>
        <v>.</v>
      </c>
      <c r="BS42" s="1146" t="e">
        <f t="shared" si="107"/>
        <v>#VALUE!</v>
      </c>
      <c r="BT42" s="1147">
        <f>VLOOKUP(AP42,'CROP FACTORS'!$C$5:$N$130,7,FALSE)</f>
        <v>5.5</v>
      </c>
      <c r="BU42" s="1148">
        <f>VLOOKUP(AP42,'CROP FACTORS'!$C$5:$P$130,8,FALSE)</f>
        <v>2</v>
      </c>
      <c r="BV42" s="1149">
        <f t="shared" si="108"/>
        <v>6.1454000000000004</v>
      </c>
      <c r="BW42" s="1150">
        <f t="shared" si="109"/>
        <v>0.94926465166363427</v>
      </c>
      <c r="BX42" s="1137">
        <f>VLOOKUP(AP42,'CROP FACTORS'!$C$5:$N$130,10,FALSE)</f>
        <v>12</v>
      </c>
      <c r="BY42" s="1138">
        <f t="shared" si="110"/>
        <v>70.512592799999993</v>
      </c>
      <c r="BZ42" s="956">
        <f t="shared" si="111"/>
        <v>0.01</v>
      </c>
      <c r="CA42" s="956">
        <f t="shared" si="112"/>
        <v>0.99</v>
      </c>
      <c r="CB42" s="1148">
        <f t="shared" si="113"/>
        <v>71.797050190444793</v>
      </c>
      <c r="CC42" s="1148">
        <f t="shared" si="114"/>
        <v>70.505541540719989</v>
      </c>
      <c r="CD42" s="956">
        <f t="shared" si="115"/>
        <v>140</v>
      </c>
      <c r="CE42" s="956">
        <f t="shared" si="116"/>
        <v>90000</v>
      </c>
      <c r="CF42" s="956">
        <f t="shared" si="117"/>
        <v>1</v>
      </c>
      <c r="CG42" s="956">
        <f t="shared" si="118"/>
        <v>0.02</v>
      </c>
      <c r="CH42" s="956">
        <f t="shared" si="119"/>
        <v>91656</v>
      </c>
      <c r="CI42" s="956">
        <f t="shared" si="120"/>
        <v>91800</v>
      </c>
      <c r="CJ42" s="1138">
        <f t="shared" si="121"/>
        <v>1.25</v>
      </c>
      <c r="CK42" s="1138">
        <f t="shared" si="122"/>
        <v>2.1</v>
      </c>
      <c r="CL42" s="1138">
        <f t="shared" si="123"/>
        <v>1.25</v>
      </c>
      <c r="CM42" s="1138">
        <f t="shared" si="124"/>
        <v>1.25</v>
      </c>
      <c r="CN42" s="1151">
        <f t="shared" si="125"/>
        <v>14.8</v>
      </c>
      <c r="CO42" s="1138">
        <f t="shared" si="126"/>
        <v>1</v>
      </c>
      <c r="CP42" s="1138">
        <f t="shared" si="127"/>
        <v>1</v>
      </c>
      <c r="CQ42" s="1152">
        <f t="shared" si="128"/>
        <v>1</v>
      </c>
      <c r="CR42" s="1153">
        <f t="shared" si="129"/>
        <v>1</v>
      </c>
      <c r="CS42" s="1137">
        <f t="shared" si="130"/>
        <v>0.79400000000000004</v>
      </c>
      <c r="CT42" s="956">
        <f t="shared" si="131"/>
        <v>88.025000000000006</v>
      </c>
      <c r="CU42" s="956">
        <f t="shared" si="132"/>
        <v>-12.061</v>
      </c>
      <c r="CV42" s="956">
        <f t="shared" si="133"/>
        <v>0</v>
      </c>
      <c r="CW42" s="956">
        <f t="shared" si="134"/>
        <v>9.3587152000000007</v>
      </c>
      <c r="CX42" s="956">
        <f t="shared" si="135"/>
        <v>-10.275524000000001</v>
      </c>
      <c r="CY42" s="1154">
        <f t="shared" si="136"/>
        <v>1.2100814010714023</v>
      </c>
      <c r="CZ42" s="1155">
        <f t="shared" si="137"/>
        <v>0.99388342603480273</v>
      </c>
      <c r="DA42" s="1137" t="e">
        <f>MIN(VLOOKUP(AP42,'CROP FACTORS'!$C$5:$N$130,2,FALSE),VLOOKUP(AQ42,'CROP FACTORS'!$C$5:$N$130,2,FALSE))</f>
        <v>#N/A</v>
      </c>
      <c r="DB42" s="956" t="e">
        <f>MIN(VLOOKUP(AP42,'CROP FACTORS'!$C$5:$N$130,4,FALSE),VLOOKUP(AQ42,'CROP FACTORS'!$C$5:$N$130,4,FALSE))</f>
        <v>#N/A</v>
      </c>
      <c r="DC42" s="1156" t="e">
        <f t="shared" si="138"/>
        <v>#N/A</v>
      </c>
      <c r="DD42" s="1138">
        <f t="shared" si="139"/>
        <v>1.07</v>
      </c>
      <c r="DE42" s="1157" t="str">
        <f t="shared" si="140"/>
        <v>.</v>
      </c>
      <c r="DF42" s="1138" t="e">
        <f t="shared" si="141"/>
        <v>#N/A</v>
      </c>
      <c r="DG42" s="1158" t="e">
        <f t="shared" si="142"/>
        <v>#N/A</v>
      </c>
      <c r="DH42" s="1159" t="str">
        <f t="shared" si="143"/>
        <v>.</v>
      </c>
      <c r="DI42" s="1153" t="e">
        <f t="shared" si="144"/>
        <v>#VALUE!</v>
      </c>
      <c r="DJ42" s="1133">
        <f t="shared" si="145"/>
        <v>5.8</v>
      </c>
      <c r="DK42" s="1160">
        <f t="shared" si="146"/>
        <v>2.9</v>
      </c>
      <c r="DL42" s="1134">
        <f t="shared" si="147"/>
        <v>2.1</v>
      </c>
      <c r="DM42" s="1161">
        <f t="shared" si="148"/>
        <v>144.42868011421206</v>
      </c>
      <c r="DN42" s="1144">
        <f t="shared" si="149"/>
        <v>52.142000000000003</v>
      </c>
      <c r="DO42" s="1162">
        <f t="shared" si="150"/>
        <v>0.98444637955117209</v>
      </c>
      <c r="DP42" s="1163">
        <f t="shared" si="151"/>
        <v>0.98444637955117209</v>
      </c>
      <c r="DQ42" s="1133">
        <f t="shared" si="152"/>
        <v>1.0541</v>
      </c>
      <c r="DR42" s="1134">
        <f t="shared" si="153"/>
        <v>-9.8099999999999993E-3</v>
      </c>
      <c r="DS42" s="1164">
        <f t="shared" si="154"/>
        <v>111.43500000000002</v>
      </c>
      <c r="DT42" s="1146">
        <f t="shared" si="155"/>
        <v>0.70081847820338983</v>
      </c>
      <c r="DU42" s="1165">
        <f t="shared" si="156"/>
        <v>0.99789939903677716</v>
      </c>
      <c r="DV42" s="1166">
        <f t="shared" si="157"/>
        <v>1</v>
      </c>
      <c r="DW42" s="1166">
        <f t="shared" si="158"/>
        <v>0.99999999999530642</v>
      </c>
      <c r="DX42" s="1166"/>
      <c r="DY42" s="1166">
        <f t="shared" si="159"/>
        <v>0.94926465166363427</v>
      </c>
      <c r="DZ42" s="1166">
        <f t="shared" si="160"/>
        <v>1</v>
      </c>
      <c r="EA42" s="1138"/>
      <c r="EB42" s="1166">
        <f t="shared" si="161"/>
        <v>0.99388342603480273</v>
      </c>
      <c r="EC42" s="1166"/>
      <c r="ED42" s="1138"/>
      <c r="EE42" s="1166">
        <f t="shared" si="162"/>
        <v>0.98444637955117209</v>
      </c>
      <c r="EF42" s="1140">
        <f t="shared" si="163"/>
        <v>0.70081847820338983</v>
      </c>
      <c r="EG42" s="1159">
        <f t="shared" si="164"/>
        <v>7.6263123344850818</v>
      </c>
      <c r="EH42" s="1167">
        <f t="shared" si="165"/>
        <v>8</v>
      </c>
      <c r="EI42" s="1312">
        <f t="shared" si="166"/>
        <v>0.95328904181063523</v>
      </c>
      <c r="EJ42" s="1168">
        <f t="shared" si="167"/>
        <v>1.9938834260348028</v>
      </c>
      <c r="EK42" s="1169">
        <f t="shared" si="168"/>
        <v>2</v>
      </c>
      <c r="EL42" s="1170">
        <f t="shared" si="169"/>
        <v>0.99694171301740142</v>
      </c>
      <c r="EM42" s="1159">
        <f t="shared" si="170"/>
        <v>0.94926465166363427</v>
      </c>
      <c r="EN42" s="1167">
        <f t="shared" si="171"/>
        <v>1</v>
      </c>
      <c r="EO42" s="1171">
        <f t="shared" si="172"/>
        <v>0.94926465166363427</v>
      </c>
      <c r="EP42" s="1168">
        <f t="shared" si="173"/>
        <v>2.9823457785832557</v>
      </c>
      <c r="EQ42" s="1169">
        <f t="shared" si="174"/>
        <v>3</v>
      </c>
      <c r="ER42" s="1146">
        <f t="shared" si="175"/>
        <v>0.99411525952775193</v>
      </c>
      <c r="ES42" s="1159">
        <f t="shared" si="176"/>
        <v>1.7008184782033897</v>
      </c>
      <c r="ET42" s="1167">
        <f t="shared" si="177"/>
        <v>2</v>
      </c>
      <c r="EU42" s="1155">
        <f t="shared" si="178"/>
        <v>0.85040923910169486</v>
      </c>
      <c r="EV42" s="1159">
        <f t="shared" si="179"/>
        <v>2.6500831298670242</v>
      </c>
      <c r="EW42" s="1167">
        <f t="shared" si="180"/>
        <v>3</v>
      </c>
      <c r="EX42" s="1155">
        <f t="shared" si="181"/>
        <v>0.88336104328900811</v>
      </c>
    </row>
    <row r="43" spans="2:154">
      <c r="B43" s="1233" t="s">
        <v>1272</v>
      </c>
      <c r="C43" s="1219">
        <v>6</v>
      </c>
      <c r="D43" s="1220" t="s">
        <v>1264</v>
      </c>
      <c r="E43" s="1220" t="s">
        <v>1265</v>
      </c>
      <c r="F43" s="1221" t="s">
        <v>1266</v>
      </c>
      <c r="V43" s="1278">
        <v>22.7</v>
      </c>
      <c r="W43" s="1262">
        <v>2.4350000000000001</v>
      </c>
      <c r="X43" s="1283">
        <v>91.074999999999989</v>
      </c>
      <c r="Y43" s="1272">
        <v>951.15923566878951</v>
      </c>
      <c r="Z43" s="1255" t="s">
        <v>1058</v>
      </c>
      <c r="AA43" s="1277">
        <v>7.1596000000000002</v>
      </c>
      <c r="AB43" s="1261">
        <v>17.8</v>
      </c>
      <c r="AC43" s="1294">
        <v>1.368676911385087</v>
      </c>
      <c r="AD43" s="1271" t="s">
        <v>1058</v>
      </c>
      <c r="AE43" s="1271" t="s">
        <v>1058</v>
      </c>
      <c r="AF43" s="1254">
        <v>120.98716625911581</v>
      </c>
      <c r="AG43" s="1282">
        <v>105.57000000000001</v>
      </c>
      <c r="AH43" s="1290">
        <v>4</v>
      </c>
      <c r="AI43" s="1290">
        <v>2</v>
      </c>
      <c r="AJ43" s="1290">
        <v>2</v>
      </c>
      <c r="AK43" s="1290">
        <v>1</v>
      </c>
      <c r="AL43" s="1290">
        <v>1</v>
      </c>
      <c r="AM43" s="1290">
        <v>2</v>
      </c>
      <c r="AN43" s="1290">
        <v>3</v>
      </c>
      <c r="AO43" s="1290">
        <v>2</v>
      </c>
      <c r="AP43" s="1253">
        <v>108</v>
      </c>
      <c r="AQ43" s="1290"/>
      <c r="AR43" s="1290">
        <v>2</v>
      </c>
      <c r="AS43" s="1290">
        <v>5</v>
      </c>
      <c r="AT43" s="1290">
        <v>2</v>
      </c>
      <c r="AU43" s="1290"/>
      <c r="AV43" s="1133">
        <f t="shared" si="84"/>
        <v>3.81</v>
      </c>
      <c r="AW43" s="1134">
        <f t="shared" si="85"/>
        <v>1.25</v>
      </c>
      <c r="AX43" s="1134">
        <f t="shared" si="86"/>
        <v>0.15</v>
      </c>
      <c r="AY43" s="1135">
        <f t="shared" si="87"/>
        <v>2.4350000000000001</v>
      </c>
      <c r="AZ43" s="1136">
        <f t="shared" si="88"/>
        <v>0.99991909626152631</v>
      </c>
      <c r="BA43" s="1137">
        <f t="shared" si="89"/>
        <v>0.89993809999999996</v>
      </c>
      <c r="BB43" s="956">
        <f t="shared" si="90"/>
        <v>1.06</v>
      </c>
      <c r="BC43" s="1138">
        <f t="shared" si="91"/>
        <v>1.1000000000000001</v>
      </c>
      <c r="BD43" s="1139">
        <f t="shared" si="92"/>
        <v>91.074999999999989</v>
      </c>
      <c r="BE43" s="1138">
        <f t="shared" si="93"/>
        <v>0.54088020752792876</v>
      </c>
      <c r="BF43" s="1140">
        <f t="shared" si="94"/>
        <v>1</v>
      </c>
      <c r="BG43" s="1137">
        <f t="shared" si="95"/>
        <v>0.03</v>
      </c>
      <c r="BH43" s="956">
        <f t="shared" si="96"/>
        <v>1.35</v>
      </c>
      <c r="BI43" s="956">
        <f t="shared" si="97"/>
        <v>1.08</v>
      </c>
      <c r="BJ43" s="956">
        <f t="shared" si="98"/>
        <v>0</v>
      </c>
      <c r="BK43" s="956">
        <f t="shared" si="99"/>
        <v>1.08</v>
      </c>
      <c r="BL43" s="956">
        <f t="shared" si="100"/>
        <v>0</v>
      </c>
      <c r="BM43" s="1141">
        <f t="shared" si="101"/>
        <v>951.15923566878951</v>
      </c>
      <c r="BN43" s="1142">
        <f t="shared" si="102"/>
        <v>1</v>
      </c>
      <c r="BO43" s="1143">
        <f t="shared" si="103"/>
        <v>0.43227500000000002</v>
      </c>
      <c r="BP43" s="1144">
        <f t="shared" si="104"/>
        <v>1</v>
      </c>
      <c r="BQ43" s="1134">
        <f t="shared" si="105"/>
        <v>0.9</v>
      </c>
      <c r="BR43" s="1145" t="str">
        <f t="shared" si="106"/>
        <v>.</v>
      </c>
      <c r="BS43" s="1146" t="e">
        <f t="shared" si="107"/>
        <v>#VALUE!</v>
      </c>
      <c r="BT43" s="1147">
        <f>VLOOKUP(AP43,'CROP FACTORS'!$C$5:$N$130,7,FALSE)</f>
        <v>5.5</v>
      </c>
      <c r="BU43" s="1148">
        <f>VLOOKUP(AP43,'CROP FACTORS'!$C$5:$P$130,8,FALSE)</f>
        <v>2</v>
      </c>
      <c r="BV43" s="1149">
        <f t="shared" si="108"/>
        <v>7.1596000000000002</v>
      </c>
      <c r="BW43" s="1150">
        <f t="shared" si="109"/>
        <v>0.70872760664637191</v>
      </c>
      <c r="BX43" s="1137">
        <f>VLOOKUP(AP43,'CROP FACTORS'!$C$5:$N$130,10,FALSE)</f>
        <v>12</v>
      </c>
      <c r="BY43" s="1138">
        <f t="shared" si="110"/>
        <v>70.512592799999993</v>
      </c>
      <c r="BZ43" s="956">
        <f t="shared" si="111"/>
        <v>0.01</v>
      </c>
      <c r="CA43" s="956">
        <f t="shared" si="112"/>
        <v>0.99</v>
      </c>
      <c r="CB43" s="1148">
        <f t="shared" si="113"/>
        <v>72.212404618333196</v>
      </c>
      <c r="CC43" s="1148">
        <f t="shared" si="114"/>
        <v>70.505541540719989</v>
      </c>
      <c r="CD43" s="956">
        <f t="shared" si="115"/>
        <v>140</v>
      </c>
      <c r="CE43" s="956">
        <f t="shared" si="116"/>
        <v>90000</v>
      </c>
      <c r="CF43" s="956">
        <f t="shared" si="117"/>
        <v>1</v>
      </c>
      <c r="CG43" s="956">
        <f t="shared" si="118"/>
        <v>0.02</v>
      </c>
      <c r="CH43" s="956">
        <f t="shared" si="119"/>
        <v>92191.5</v>
      </c>
      <c r="CI43" s="956">
        <f t="shared" si="120"/>
        <v>91800</v>
      </c>
      <c r="CJ43" s="1138">
        <f t="shared" si="121"/>
        <v>1.25</v>
      </c>
      <c r="CK43" s="1138">
        <f t="shared" si="122"/>
        <v>2.1</v>
      </c>
      <c r="CL43" s="1138">
        <f t="shared" si="123"/>
        <v>1.25</v>
      </c>
      <c r="CM43" s="1138">
        <f t="shared" si="124"/>
        <v>1.25</v>
      </c>
      <c r="CN43" s="1151">
        <f t="shared" si="125"/>
        <v>17.8</v>
      </c>
      <c r="CO43" s="1138">
        <f t="shared" si="126"/>
        <v>1</v>
      </c>
      <c r="CP43" s="1138">
        <f t="shared" si="127"/>
        <v>1</v>
      </c>
      <c r="CQ43" s="1152">
        <f t="shared" si="128"/>
        <v>1</v>
      </c>
      <c r="CR43" s="1153">
        <f t="shared" si="129"/>
        <v>1</v>
      </c>
      <c r="CS43" s="1137">
        <f t="shared" si="130"/>
        <v>0.79400000000000004</v>
      </c>
      <c r="CT43" s="956">
        <f t="shared" si="131"/>
        <v>88.025000000000006</v>
      </c>
      <c r="CU43" s="956">
        <f t="shared" si="132"/>
        <v>-12.061</v>
      </c>
      <c r="CV43" s="956">
        <f t="shared" si="133"/>
        <v>0</v>
      </c>
      <c r="CW43" s="956">
        <f t="shared" si="134"/>
        <v>9.3587152000000007</v>
      </c>
      <c r="CX43" s="956">
        <f t="shared" si="135"/>
        <v>-10.275524000000001</v>
      </c>
      <c r="CY43" s="1154">
        <f t="shared" si="136"/>
        <v>1.368676911385087</v>
      </c>
      <c r="CZ43" s="1155">
        <f t="shared" si="137"/>
        <v>0.8863707084237924</v>
      </c>
      <c r="DA43" s="1137" t="e">
        <f>MIN(VLOOKUP(AP43,'CROP FACTORS'!$C$5:$N$130,2,FALSE),VLOOKUP(AQ43,'CROP FACTORS'!$C$5:$N$130,2,FALSE))</f>
        <v>#N/A</v>
      </c>
      <c r="DB43" s="956" t="e">
        <f>MIN(VLOOKUP(AP43,'CROP FACTORS'!$C$5:$N$130,4,FALSE),VLOOKUP(AQ43,'CROP FACTORS'!$C$5:$N$130,4,FALSE))</f>
        <v>#N/A</v>
      </c>
      <c r="DC43" s="1156" t="e">
        <f t="shared" si="138"/>
        <v>#N/A</v>
      </c>
      <c r="DD43" s="1138">
        <f t="shared" si="139"/>
        <v>1.07</v>
      </c>
      <c r="DE43" s="1157" t="str">
        <f t="shared" si="140"/>
        <v>.</v>
      </c>
      <c r="DF43" s="1138" t="e">
        <f t="shared" si="141"/>
        <v>#N/A</v>
      </c>
      <c r="DG43" s="1158" t="e">
        <f t="shared" si="142"/>
        <v>#N/A</v>
      </c>
      <c r="DH43" s="1159" t="str">
        <f t="shared" si="143"/>
        <v>.</v>
      </c>
      <c r="DI43" s="1153" t="e">
        <f t="shared" si="144"/>
        <v>#VALUE!</v>
      </c>
      <c r="DJ43" s="1133">
        <f t="shared" si="145"/>
        <v>5.8</v>
      </c>
      <c r="DK43" s="1160">
        <f t="shared" si="146"/>
        <v>2.9</v>
      </c>
      <c r="DL43" s="1134">
        <f t="shared" si="147"/>
        <v>2.1</v>
      </c>
      <c r="DM43" s="1161">
        <f t="shared" si="148"/>
        <v>120.98716625911581</v>
      </c>
      <c r="DN43" s="1144">
        <f t="shared" si="149"/>
        <v>52.142000000000003</v>
      </c>
      <c r="DO43" s="1162">
        <f t="shared" si="150"/>
        <v>0.92820323443383135</v>
      </c>
      <c r="DP43" s="1163">
        <f t="shared" si="151"/>
        <v>0.92820323443383135</v>
      </c>
      <c r="DQ43" s="1133">
        <f t="shared" si="152"/>
        <v>1.0541</v>
      </c>
      <c r="DR43" s="1134">
        <f t="shared" si="153"/>
        <v>-9.8099999999999993E-3</v>
      </c>
      <c r="DS43" s="1164">
        <f t="shared" si="154"/>
        <v>105.57000000000001</v>
      </c>
      <c r="DT43" s="1146">
        <f t="shared" si="155"/>
        <v>0.67989607558642562</v>
      </c>
      <c r="DU43" s="1165">
        <f t="shared" si="156"/>
        <v>0.99991909626152631</v>
      </c>
      <c r="DV43" s="1166">
        <f t="shared" si="157"/>
        <v>1</v>
      </c>
      <c r="DW43" s="1166">
        <f t="shared" si="158"/>
        <v>1</v>
      </c>
      <c r="DX43" s="1166"/>
      <c r="DY43" s="1166">
        <f t="shared" si="159"/>
        <v>0.70872760664637191</v>
      </c>
      <c r="DZ43" s="1166">
        <f t="shared" si="160"/>
        <v>1</v>
      </c>
      <c r="EA43" s="1138"/>
      <c r="EB43" s="1166">
        <f t="shared" si="161"/>
        <v>0.8863707084237924</v>
      </c>
      <c r="EC43" s="1166"/>
      <c r="ED43" s="1138"/>
      <c r="EE43" s="1166">
        <f t="shared" si="162"/>
        <v>0.92820323443383135</v>
      </c>
      <c r="EF43" s="1140">
        <f t="shared" si="163"/>
        <v>0.67989607558642562</v>
      </c>
      <c r="EG43" s="1159">
        <f t="shared" si="164"/>
        <v>7.2031167213519476</v>
      </c>
      <c r="EH43" s="1167">
        <f t="shared" si="165"/>
        <v>8</v>
      </c>
      <c r="EI43" s="1312">
        <f t="shared" si="166"/>
        <v>0.90038959016899345</v>
      </c>
      <c r="EJ43" s="1168">
        <f t="shared" si="167"/>
        <v>1.8863707084237924</v>
      </c>
      <c r="EK43" s="1169">
        <f t="shared" si="168"/>
        <v>2</v>
      </c>
      <c r="EL43" s="1170">
        <f t="shared" si="169"/>
        <v>0.9431853542118962</v>
      </c>
      <c r="EM43" s="1159">
        <f t="shared" si="170"/>
        <v>0.70872760664637191</v>
      </c>
      <c r="EN43" s="1167">
        <f t="shared" si="171"/>
        <v>1</v>
      </c>
      <c r="EO43" s="1171">
        <f t="shared" si="172"/>
        <v>0.70872760664637191</v>
      </c>
      <c r="EP43" s="1168">
        <f t="shared" si="173"/>
        <v>2.9281223306953574</v>
      </c>
      <c r="EQ43" s="1169">
        <f t="shared" si="174"/>
        <v>3</v>
      </c>
      <c r="ER43" s="1146">
        <f t="shared" si="175"/>
        <v>0.97604077689845248</v>
      </c>
      <c r="ES43" s="1159">
        <f t="shared" si="176"/>
        <v>1.6798960755864256</v>
      </c>
      <c r="ET43" s="1167">
        <f t="shared" si="177"/>
        <v>2</v>
      </c>
      <c r="EU43" s="1155">
        <f t="shared" si="178"/>
        <v>0.83994803779321281</v>
      </c>
      <c r="EV43" s="1159">
        <f t="shared" si="179"/>
        <v>2.3886236822327973</v>
      </c>
      <c r="EW43" s="1167">
        <f t="shared" si="180"/>
        <v>3</v>
      </c>
      <c r="EX43" s="1155">
        <f t="shared" si="181"/>
        <v>0.79620789407759907</v>
      </c>
    </row>
    <row r="44" spans="2:154">
      <c r="B44" s="1233" t="s">
        <v>1272</v>
      </c>
      <c r="C44" s="1219">
        <v>7</v>
      </c>
      <c r="D44" s="1220" t="s">
        <v>1264</v>
      </c>
      <c r="E44" s="1220" t="s">
        <v>1265</v>
      </c>
      <c r="F44" s="1221" t="s">
        <v>1266</v>
      </c>
      <c r="V44" s="1278">
        <v>20.3</v>
      </c>
      <c r="W44" s="1262">
        <v>2.7250000000000001</v>
      </c>
      <c r="X44" s="1283">
        <v>87.440000000000012</v>
      </c>
      <c r="Y44" s="1272">
        <v>935.18089990817225</v>
      </c>
      <c r="Z44" s="1255" t="s">
        <v>1058</v>
      </c>
      <c r="AA44" s="1277">
        <v>7.8049999999999997</v>
      </c>
      <c r="AB44" s="1261">
        <v>23.2</v>
      </c>
      <c r="AC44" s="1294">
        <v>1.1853667388290183</v>
      </c>
      <c r="AD44" s="1271" t="s">
        <v>1058</v>
      </c>
      <c r="AE44" s="1271" t="s">
        <v>1058</v>
      </c>
      <c r="AF44" s="1254">
        <v>125.05505055053004</v>
      </c>
      <c r="AG44" s="1282">
        <v>109.87100000000001</v>
      </c>
      <c r="AH44" s="1290">
        <v>4</v>
      </c>
      <c r="AI44" s="1290">
        <v>2</v>
      </c>
      <c r="AJ44" s="1290">
        <v>2</v>
      </c>
      <c r="AK44" s="1290">
        <v>1</v>
      </c>
      <c r="AL44" s="1290">
        <v>1</v>
      </c>
      <c r="AM44" s="1290">
        <v>2</v>
      </c>
      <c r="AN44" s="1290">
        <v>3</v>
      </c>
      <c r="AO44" s="1290">
        <v>2</v>
      </c>
      <c r="AP44" s="1253">
        <v>108</v>
      </c>
      <c r="AQ44" s="1290"/>
      <c r="AR44" s="1290">
        <v>2</v>
      </c>
      <c r="AS44" s="1290">
        <v>5</v>
      </c>
      <c r="AT44" s="1290">
        <v>2</v>
      </c>
      <c r="AU44" s="1290"/>
      <c r="AV44" s="1133">
        <f t="shared" si="84"/>
        <v>3.81</v>
      </c>
      <c r="AW44" s="1134">
        <f t="shared" si="85"/>
        <v>1.25</v>
      </c>
      <c r="AX44" s="1134">
        <f t="shared" si="86"/>
        <v>0.15</v>
      </c>
      <c r="AY44" s="1135">
        <f t="shared" si="87"/>
        <v>2.7250000000000001</v>
      </c>
      <c r="AZ44" s="1136">
        <f t="shared" si="88"/>
        <v>0.99998347241731089</v>
      </c>
      <c r="BA44" s="1137">
        <f t="shared" si="89"/>
        <v>0.89993809999999996</v>
      </c>
      <c r="BB44" s="956">
        <f t="shared" si="90"/>
        <v>1.06</v>
      </c>
      <c r="BC44" s="1138">
        <f t="shared" si="91"/>
        <v>1.1000000000000001</v>
      </c>
      <c r="BD44" s="1139">
        <f t="shared" si="92"/>
        <v>87.440000000000012</v>
      </c>
      <c r="BE44" s="1138">
        <f t="shared" si="93"/>
        <v>0.62345857535712035</v>
      </c>
      <c r="BF44" s="1140">
        <f t="shared" si="94"/>
        <v>1</v>
      </c>
      <c r="BG44" s="1137">
        <f t="shared" si="95"/>
        <v>0.03</v>
      </c>
      <c r="BH44" s="956">
        <f t="shared" si="96"/>
        <v>1.35</v>
      </c>
      <c r="BI44" s="956">
        <f t="shared" si="97"/>
        <v>1.08</v>
      </c>
      <c r="BJ44" s="956">
        <f t="shared" si="98"/>
        <v>0</v>
      </c>
      <c r="BK44" s="956">
        <f t="shared" si="99"/>
        <v>1.08</v>
      </c>
      <c r="BL44" s="956">
        <f t="shared" si="100"/>
        <v>0</v>
      </c>
      <c r="BM44" s="1141">
        <f t="shared" si="101"/>
        <v>935.18089990817225</v>
      </c>
      <c r="BN44" s="1142">
        <f t="shared" si="102"/>
        <v>1</v>
      </c>
      <c r="BO44" s="1143">
        <f t="shared" si="103"/>
        <v>0.43227500000000002</v>
      </c>
      <c r="BP44" s="1144">
        <f t="shared" si="104"/>
        <v>1</v>
      </c>
      <c r="BQ44" s="1134">
        <f t="shared" si="105"/>
        <v>0.9</v>
      </c>
      <c r="BR44" s="1145" t="str">
        <f t="shared" si="106"/>
        <v>.</v>
      </c>
      <c r="BS44" s="1146" t="e">
        <f t="shared" si="107"/>
        <v>#VALUE!</v>
      </c>
      <c r="BT44" s="1147">
        <f>VLOOKUP(AP44,'CROP FACTORS'!$C$5:$N$130,7,FALSE)</f>
        <v>5.5</v>
      </c>
      <c r="BU44" s="1148">
        <f>VLOOKUP(AP44,'CROP FACTORS'!$C$5:$P$130,8,FALSE)</f>
        <v>2</v>
      </c>
      <c r="BV44" s="1149">
        <f t="shared" si="108"/>
        <v>7.8049999999999997</v>
      </c>
      <c r="BW44" s="1150">
        <f t="shared" si="109"/>
        <v>0.51472210546205044</v>
      </c>
      <c r="BX44" s="1137">
        <f>VLOOKUP(AP44,'CROP FACTORS'!$C$5:$N$130,10,FALSE)</f>
        <v>12</v>
      </c>
      <c r="BY44" s="1138">
        <f t="shared" si="110"/>
        <v>70.512592799999993</v>
      </c>
      <c r="BZ44" s="956">
        <f t="shared" si="111"/>
        <v>0.01</v>
      </c>
      <c r="CA44" s="956">
        <f t="shared" si="112"/>
        <v>0.99</v>
      </c>
      <c r="CB44" s="1148">
        <f t="shared" si="113"/>
        <v>72.414846272261997</v>
      </c>
      <c r="CC44" s="1148">
        <f t="shared" si="114"/>
        <v>70.505541540719989</v>
      </c>
      <c r="CD44" s="956">
        <f t="shared" si="115"/>
        <v>140</v>
      </c>
      <c r="CE44" s="956">
        <f t="shared" si="116"/>
        <v>90000</v>
      </c>
      <c r="CF44" s="956">
        <f t="shared" si="117"/>
        <v>1</v>
      </c>
      <c r="CG44" s="956">
        <f t="shared" si="118"/>
        <v>0.02</v>
      </c>
      <c r="CH44" s="956">
        <f t="shared" si="119"/>
        <v>92452.5</v>
      </c>
      <c r="CI44" s="956">
        <f t="shared" si="120"/>
        <v>91800</v>
      </c>
      <c r="CJ44" s="1138">
        <f t="shared" si="121"/>
        <v>1.25</v>
      </c>
      <c r="CK44" s="1138">
        <f t="shared" si="122"/>
        <v>2.1</v>
      </c>
      <c r="CL44" s="1138">
        <f t="shared" si="123"/>
        <v>1.25</v>
      </c>
      <c r="CM44" s="1138">
        <f t="shared" si="124"/>
        <v>1.25</v>
      </c>
      <c r="CN44" s="1151">
        <f t="shared" si="125"/>
        <v>23.2</v>
      </c>
      <c r="CO44" s="1138">
        <f t="shared" si="126"/>
        <v>1</v>
      </c>
      <c r="CP44" s="1138">
        <f t="shared" si="127"/>
        <v>1</v>
      </c>
      <c r="CQ44" s="1152">
        <f t="shared" si="128"/>
        <v>1</v>
      </c>
      <c r="CR44" s="1153">
        <f t="shared" si="129"/>
        <v>1</v>
      </c>
      <c r="CS44" s="1137">
        <f t="shared" si="130"/>
        <v>0.79400000000000004</v>
      </c>
      <c r="CT44" s="956">
        <f t="shared" si="131"/>
        <v>88.025000000000006</v>
      </c>
      <c r="CU44" s="956">
        <f t="shared" si="132"/>
        <v>-12.061</v>
      </c>
      <c r="CV44" s="956">
        <f t="shared" si="133"/>
        <v>0</v>
      </c>
      <c r="CW44" s="956">
        <f t="shared" si="134"/>
        <v>9.3587152000000007</v>
      </c>
      <c r="CX44" s="956">
        <f t="shared" si="135"/>
        <v>-10.275524000000001</v>
      </c>
      <c r="CY44" s="1154">
        <f t="shared" si="136"/>
        <v>1.1853667388290183</v>
      </c>
      <c r="CZ44" s="1155">
        <f t="shared" si="137"/>
        <v>0.99399037588559735</v>
      </c>
      <c r="DA44" s="1137" t="e">
        <f>MIN(VLOOKUP(AP44,'CROP FACTORS'!$C$5:$N$130,2,FALSE),VLOOKUP(AQ44,'CROP FACTORS'!$C$5:$N$130,2,FALSE))</f>
        <v>#N/A</v>
      </c>
      <c r="DB44" s="956" t="e">
        <f>MIN(VLOOKUP(AP44,'CROP FACTORS'!$C$5:$N$130,4,FALSE),VLOOKUP(AQ44,'CROP FACTORS'!$C$5:$N$130,4,FALSE))</f>
        <v>#N/A</v>
      </c>
      <c r="DC44" s="1156" t="e">
        <f t="shared" si="138"/>
        <v>#N/A</v>
      </c>
      <c r="DD44" s="1138">
        <f t="shared" si="139"/>
        <v>1.07</v>
      </c>
      <c r="DE44" s="1157" t="str">
        <f t="shared" si="140"/>
        <v>.</v>
      </c>
      <c r="DF44" s="1138" t="e">
        <f t="shared" si="141"/>
        <v>#N/A</v>
      </c>
      <c r="DG44" s="1158" t="e">
        <f t="shared" si="142"/>
        <v>#N/A</v>
      </c>
      <c r="DH44" s="1159" t="str">
        <f t="shared" si="143"/>
        <v>.</v>
      </c>
      <c r="DI44" s="1153" t="e">
        <f t="shared" si="144"/>
        <v>#VALUE!</v>
      </c>
      <c r="DJ44" s="1133">
        <f t="shared" si="145"/>
        <v>5.8</v>
      </c>
      <c r="DK44" s="1160">
        <f t="shared" si="146"/>
        <v>2.9</v>
      </c>
      <c r="DL44" s="1134">
        <f t="shared" si="147"/>
        <v>2.1</v>
      </c>
      <c r="DM44" s="1161">
        <f t="shared" si="148"/>
        <v>125.05505055053004</v>
      </c>
      <c r="DN44" s="1144">
        <f t="shared" si="149"/>
        <v>52.142000000000003</v>
      </c>
      <c r="DO44" s="1162">
        <f t="shared" si="150"/>
        <v>0.9427962178865692</v>
      </c>
      <c r="DP44" s="1163">
        <f t="shared" si="151"/>
        <v>0.9427962178865692</v>
      </c>
      <c r="DQ44" s="1133">
        <f t="shared" si="152"/>
        <v>1.0541</v>
      </c>
      <c r="DR44" s="1134">
        <f t="shared" si="153"/>
        <v>-9.8099999999999993E-3</v>
      </c>
      <c r="DS44" s="1164">
        <f t="shared" si="154"/>
        <v>109.87100000000001</v>
      </c>
      <c r="DT44" s="1146">
        <f t="shared" si="155"/>
        <v>0.69535634114175904</v>
      </c>
      <c r="DU44" s="1165">
        <f t="shared" si="156"/>
        <v>0.99998347241731089</v>
      </c>
      <c r="DV44" s="1166">
        <f t="shared" si="157"/>
        <v>1</v>
      </c>
      <c r="DW44" s="1166">
        <f t="shared" si="158"/>
        <v>1</v>
      </c>
      <c r="DX44" s="1166"/>
      <c r="DY44" s="1166">
        <f t="shared" si="159"/>
        <v>0.51472210546205044</v>
      </c>
      <c r="DZ44" s="1166">
        <f t="shared" si="160"/>
        <v>1</v>
      </c>
      <c r="EA44" s="1138"/>
      <c r="EB44" s="1166">
        <f t="shared" si="161"/>
        <v>0.99399037588559735</v>
      </c>
      <c r="EC44" s="1166"/>
      <c r="ED44" s="1138"/>
      <c r="EE44" s="1166">
        <f t="shared" si="162"/>
        <v>0.9427962178865692</v>
      </c>
      <c r="EF44" s="1140">
        <f t="shared" si="163"/>
        <v>0.69535634114175904</v>
      </c>
      <c r="EG44" s="1159">
        <f t="shared" si="164"/>
        <v>7.1468485127932873</v>
      </c>
      <c r="EH44" s="1167">
        <f t="shared" si="165"/>
        <v>8</v>
      </c>
      <c r="EI44" s="1312">
        <f t="shared" si="166"/>
        <v>0.89335606409916091</v>
      </c>
      <c r="EJ44" s="1168">
        <f t="shared" si="167"/>
        <v>1.9939903758855975</v>
      </c>
      <c r="EK44" s="1169">
        <f t="shared" si="168"/>
        <v>2</v>
      </c>
      <c r="EL44" s="1170">
        <f t="shared" si="169"/>
        <v>0.99699518794279873</v>
      </c>
      <c r="EM44" s="1159">
        <f t="shared" si="170"/>
        <v>0.51472210546205044</v>
      </c>
      <c r="EN44" s="1167">
        <f t="shared" si="171"/>
        <v>1</v>
      </c>
      <c r="EO44" s="1171">
        <f t="shared" si="172"/>
        <v>0.51472210546205044</v>
      </c>
      <c r="EP44" s="1168">
        <f t="shared" si="173"/>
        <v>2.9427796903038801</v>
      </c>
      <c r="EQ44" s="1169">
        <f t="shared" si="174"/>
        <v>3</v>
      </c>
      <c r="ER44" s="1146">
        <f t="shared" si="175"/>
        <v>0.9809265634346267</v>
      </c>
      <c r="ES44" s="1159">
        <f t="shared" si="176"/>
        <v>1.6953563411417591</v>
      </c>
      <c r="ET44" s="1167">
        <f t="shared" si="177"/>
        <v>2</v>
      </c>
      <c r="EU44" s="1155">
        <f t="shared" si="178"/>
        <v>0.84767817057087957</v>
      </c>
      <c r="EV44" s="1159">
        <f t="shared" si="179"/>
        <v>2.2100784466038097</v>
      </c>
      <c r="EW44" s="1167">
        <f t="shared" si="180"/>
        <v>3</v>
      </c>
      <c r="EX44" s="1155">
        <f t="shared" si="181"/>
        <v>0.7366928155346032</v>
      </c>
    </row>
    <row r="45" spans="2:154">
      <c r="B45" s="1233" t="s">
        <v>1272</v>
      </c>
      <c r="C45" s="1219">
        <v>8</v>
      </c>
      <c r="D45" s="1220" t="s">
        <v>1264</v>
      </c>
      <c r="E45" s="1220" t="s">
        <v>1265</v>
      </c>
      <c r="F45" s="1221" t="s">
        <v>1266</v>
      </c>
      <c r="V45" s="1268">
        <v>15.2</v>
      </c>
      <c r="W45" s="1276">
        <v>2.2549999999999999</v>
      </c>
      <c r="X45" s="1260">
        <v>91.3</v>
      </c>
      <c r="Y45" s="1272">
        <v>1188.9952587095399</v>
      </c>
      <c r="Z45" s="1255" t="s">
        <v>1058</v>
      </c>
      <c r="AA45" s="1277">
        <v>7.3440000000000003</v>
      </c>
      <c r="AB45" s="1299">
        <v>14.4</v>
      </c>
      <c r="AC45" s="1294">
        <v>1.206567468051158</v>
      </c>
      <c r="AD45" s="1271" t="s">
        <v>1058</v>
      </c>
      <c r="AE45" s="1271" t="s">
        <v>1058</v>
      </c>
      <c r="AF45" s="1254">
        <v>122.31101578128469</v>
      </c>
      <c r="AG45" s="1282">
        <v>64.905999999999992</v>
      </c>
      <c r="AH45" s="1290">
        <v>4</v>
      </c>
      <c r="AI45" s="1290">
        <v>2</v>
      </c>
      <c r="AJ45" s="1290">
        <v>2</v>
      </c>
      <c r="AK45" s="1290">
        <v>1</v>
      </c>
      <c r="AL45" s="1290">
        <v>1</v>
      </c>
      <c r="AM45" s="1290">
        <v>2</v>
      </c>
      <c r="AN45" s="1290">
        <v>3</v>
      </c>
      <c r="AO45" s="1290">
        <v>2</v>
      </c>
      <c r="AP45" s="1253">
        <v>108</v>
      </c>
      <c r="AQ45" s="1290"/>
      <c r="AR45" s="1290">
        <v>2</v>
      </c>
      <c r="AS45" s="1290">
        <v>5</v>
      </c>
      <c r="AT45" s="1290">
        <v>2</v>
      </c>
      <c r="AU45" s="1290"/>
      <c r="AV45" s="1133">
        <f t="shared" si="84"/>
        <v>3.81</v>
      </c>
      <c r="AW45" s="1134">
        <f t="shared" si="85"/>
        <v>1.25</v>
      </c>
      <c r="AX45" s="1134">
        <f t="shared" si="86"/>
        <v>0.15</v>
      </c>
      <c r="AY45" s="1135">
        <f t="shared" si="87"/>
        <v>2.2549999999999999</v>
      </c>
      <c r="AZ45" s="1136">
        <f t="shared" si="88"/>
        <v>0.99978320295909506</v>
      </c>
      <c r="BA45" s="1137">
        <f t="shared" si="89"/>
        <v>0.89993809999999996</v>
      </c>
      <c r="BB45" s="956">
        <f t="shared" si="90"/>
        <v>1.06</v>
      </c>
      <c r="BC45" s="1138">
        <f t="shared" si="91"/>
        <v>1.1000000000000001</v>
      </c>
      <c r="BD45" s="1139">
        <f t="shared" si="92"/>
        <v>91.3</v>
      </c>
      <c r="BE45" s="1138">
        <f t="shared" si="93"/>
        <v>0.53554183610618866</v>
      </c>
      <c r="BF45" s="1140">
        <f t="shared" si="94"/>
        <v>1</v>
      </c>
      <c r="BG45" s="1137">
        <f t="shared" si="95"/>
        <v>0.03</v>
      </c>
      <c r="BH45" s="956">
        <f t="shared" si="96"/>
        <v>1.35</v>
      </c>
      <c r="BI45" s="956">
        <f t="shared" si="97"/>
        <v>1.08</v>
      </c>
      <c r="BJ45" s="956">
        <f t="shared" si="98"/>
        <v>0</v>
      </c>
      <c r="BK45" s="956">
        <f t="shared" si="99"/>
        <v>1.08</v>
      </c>
      <c r="BL45" s="956">
        <f t="shared" si="100"/>
        <v>0</v>
      </c>
      <c r="BM45" s="1141">
        <f t="shared" si="101"/>
        <v>1188.9952587095399</v>
      </c>
      <c r="BN45" s="1142">
        <f t="shared" si="102"/>
        <v>1</v>
      </c>
      <c r="BO45" s="1143">
        <f t="shared" si="103"/>
        <v>0.43227500000000002</v>
      </c>
      <c r="BP45" s="1144">
        <f t="shared" si="104"/>
        <v>1</v>
      </c>
      <c r="BQ45" s="1134">
        <f t="shared" si="105"/>
        <v>0.9</v>
      </c>
      <c r="BR45" s="1145" t="str">
        <f t="shared" si="106"/>
        <v>.</v>
      </c>
      <c r="BS45" s="1146" t="e">
        <f t="shared" si="107"/>
        <v>#VALUE!</v>
      </c>
      <c r="BT45" s="1147">
        <f>VLOOKUP(AP45,'CROP FACTORS'!$C$5:$N$130,7,FALSE)</f>
        <v>5.5</v>
      </c>
      <c r="BU45" s="1148">
        <f>VLOOKUP(AP45,'CROP FACTORS'!$C$5:$P$130,8,FALSE)</f>
        <v>2</v>
      </c>
      <c r="BV45" s="1149">
        <f t="shared" si="108"/>
        <v>7.3440000000000003</v>
      </c>
      <c r="BW45" s="1150">
        <f t="shared" si="109"/>
        <v>0.65374232737548865</v>
      </c>
      <c r="BX45" s="1137">
        <f>VLOOKUP(AP45,'CROP FACTORS'!$C$5:$N$130,10,FALSE)</f>
        <v>12</v>
      </c>
      <c r="BY45" s="1138">
        <f t="shared" si="110"/>
        <v>70.512592799999993</v>
      </c>
      <c r="BZ45" s="956">
        <f t="shared" si="111"/>
        <v>0.01</v>
      </c>
      <c r="CA45" s="956">
        <f t="shared" si="112"/>
        <v>0.99</v>
      </c>
      <c r="CB45" s="1148">
        <f t="shared" si="113"/>
        <v>72.086751177963592</v>
      </c>
      <c r="CC45" s="1148">
        <f t="shared" si="114"/>
        <v>70.505541540719989</v>
      </c>
      <c r="CD45" s="956">
        <f t="shared" si="115"/>
        <v>140</v>
      </c>
      <c r="CE45" s="956">
        <f t="shared" si="116"/>
        <v>90000</v>
      </c>
      <c r="CF45" s="956">
        <f t="shared" si="117"/>
        <v>1</v>
      </c>
      <c r="CG45" s="956">
        <f t="shared" si="118"/>
        <v>0.02</v>
      </c>
      <c r="CH45" s="956">
        <f t="shared" si="119"/>
        <v>92029.5</v>
      </c>
      <c r="CI45" s="956">
        <f t="shared" si="120"/>
        <v>91800</v>
      </c>
      <c r="CJ45" s="1138">
        <f t="shared" si="121"/>
        <v>1.25</v>
      </c>
      <c r="CK45" s="1138">
        <f t="shared" si="122"/>
        <v>2.1</v>
      </c>
      <c r="CL45" s="1138">
        <f t="shared" si="123"/>
        <v>1.25</v>
      </c>
      <c r="CM45" s="1138">
        <f t="shared" si="124"/>
        <v>1.25</v>
      </c>
      <c r="CN45" s="1151">
        <f t="shared" si="125"/>
        <v>14.4</v>
      </c>
      <c r="CO45" s="1138">
        <f t="shared" si="126"/>
        <v>0.98971445187879126</v>
      </c>
      <c r="CP45" s="1138">
        <f t="shared" si="127"/>
        <v>0.98993779331467902</v>
      </c>
      <c r="CQ45" s="1152">
        <f t="shared" si="128"/>
        <v>0.98971445187879126</v>
      </c>
      <c r="CR45" s="1153">
        <f t="shared" si="129"/>
        <v>0.98993779331467902</v>
      </c>
      <c r="CS45" s="1137">
        <f t="shared" si="130"/>
        <v>0.79400000000000004</v>
      </c>
      <c r="CT45" s="956">
        <f t="shared" si="131"/>
        <v>88.025000000000006</v>
      </c>
      <c r="CU45" s="956">
        <f t="shared" si="132"/>
        <v>-12.061</v>
      </c>
      <c r="CV45" s="956">
        <f t="shared" si="133"/>
        <v>0</v>
      </c>
      <c r="CW45" s="956">
        <f t="shared" si="134"/>
        <v>9.3587152000000007</v>
      </c>
      <c r="CX45" s="956">
        <f t="shared" si="135"/>
        <v>-10.275524000000001</v>
      </c>
      <c r="CY45" s="1154">
        <f t="shared" si="136"/>
        <v>1.206567468051158</v>
      </c>
      <c r="CZ45" s="1155">
        <f t="shared" si="137"/>
        <v>0.99391493184579216</v>
      </c>
      <c r="DA45" s="1137" t="e">
        <f>MIN(VLOOKUP(AP45,'CROP FACTORS'!$C$5:$N$130,2,FALSE),VLOOKUP(AQ45,'CROP FACTORS'!$C$5:$N$130,2,FALSE))</f>
        <v>#N/A</v>
      </c>
      <c r="DB45" s="956" t="e">
        <f>MIN(VLOOKUP(AP45,'CROP FACTORS'!$C$5:$N$130,4,FALSE),VLOOKUP(AQ45,'CROP FACTORS'!$C$5:$N$130,4,FALSE))</f>
        <v>#N/A</v>
      </c>
      <c r="DC45" s="1156" t="e">
        <f t="shared" si="138"/>
        <v>#N/A</v>
      </c>
      <c r="DD45" s="1138">
        <f t="shared" si="139"/>
        <v>1.07</v>
      </c>
      <c r="DE45" s="1157" t="str">
        <f t="shared" si="140"/>
        <v>.</v>
      </c>
      <c r="DF45" s="1138" t="e">
        <f t="shared" si="141"/>
        <v>#N/A</v>
      </c>
      <c r="DG45" s="1158" t="e">
        <f t="shared" si="142"/>
        <v>#N/A</v>
      </c>
      <c r="DH45" s="1159" t="str">
        <f t="shared" si="143"/>
        <v>.</v>
      </c>
      <c r="DI45" s="1153" t="e">
        <f t="shared" si="144"/>
        <v>#VALUE!</v>
      </c>
      <c r="DJ45" s="1133">
        <f t="shared" si="145"/>
        <v>5.8</v>
      </c>
      <c r="DK45" s="1160">
        <f t="shared" si="146"/>
        <v>2.9</v>
      </c>
      <c r="DL45" s="1134">
        <f t="shared" si="147"/>
        <v>2.1</v>
      </c>
      <c r="DM45" s="1161">
        <f t="shared" si="148"/>
        <v>122.31101578128469</v>
      </c>
      <c r="DN45" s="1144">
        <f t="shared" si="149"/>
        <v>52.142000000000003</v>
      </c>
      <c r="DO45" s="1162">
        <f t="shared" si="150"/>
        <v>0.93324442850227374</v>
      </c>
      <c r="DP45" s="1163">
        <f t="shared" si="151"/>
        <v>0.93324442850227374</v>
      </c>
      <c r="DQ45" s="1133">
        <f t="shared" si="152"/>
        <v>1.0541</v>
      </c>
      <c r="DR45" s="1134">
        <f t="shared" si="153"/>
        <v>-9.8099999999999993E-3</v>
      </c>
      <c r="DS45" s="1164">
        <f t="shared" si="154"/>
        <v>64.905999999999992</v>
      </c>
      <c r="DT45" s="1146">
        <f t="shared" si="155"/>
        <v>0.49645935961909671</v>
      </c>
      <c r="DU45" s="1165">
        <f t="shared" si="156"/>
        <v>0.99978320295909506</v>
      </c>
      <c r="DV45" s="1166">
        <f t="shared" si="157"/>
        <v>1</v>
      </c>
      <c r="DW45" s="1166">
        <f t="shared" si="158"/>
        <v>1</v>
      </c>
      <c r="DX45" s="1166"/>
      <c r="DY45" s="1166">
        <f t="shared" si="159"/>
        <v>0.65374232737548865</v>
      </c>
      <c r="DZ45" s="1166">
        <f t="shared" si="160"/>
        <v>0.98971445187879126</v>
      </c>
      <c r="EA45" s="1138"/>
      <c r="EB45" s="1166">
        <f t="shared" si="161"/>
        <v>0.99391493184579216</v>
      </c>
      <c r="EC45" s="1166"/>
      <c r="ED45" s="1138"/>
      <c r="EE45" s="1166">
        <f t="shared" si="162"/>
        <v>0.93324442850227374</v>
      </c>
      <c r="EF45" s="1140">
        <f t="shared" si="163"/>
        <v>0.49645935961909671</v>
      </c>
      <c r="EG45" s="1159">
        <f t="shared" si="164"/>
        <v>7.0668587021805376</v>
      </c>
      <c r="EH45" s="1167">
        <f t="shared" si="165"/>
        <v>8</v>
      </c>
      <c r="EI45" s="1312">
        <f t="shared" si="166"/>
        <v>0.8833573377725672</v>
      </c>
      <c r="EJ45" s="1168">
        <f t="shared" si="167"/>
        <v>1.9939149318457923</v>
      </c>
      <c r="EK45" s="1169">
        <f t="shared" si="168"/>
        <v>2</v>
      </c>
      <c r="EL45" s="1170">
        <f t="shared" si="169"/>
        <v>0.99695746592289614</v>
      </c>
      <c r="EM45" s="1159">
        <f t="shared" si="170"/>
        <v>0.65374232737548865</v>
      </c>
      <c r="EN45" s="1167">
        <f t="shared" si="171"/>
        <v>1</v>
      </c>
      <c r="EO45" s="1171">
        <f t="shared" si="172"/>
        <v>0.65374232737548865</v>
      </c>
      <c r="EP45" s="1168">
        <f t="shared" si="173"/>
        <v>2.933027631461369</v>
      </c>
      <c r="EQ45" s="1169">
        <f t="shared" si="174"/>
        <v>3</v>
      </c>
      <c r="ER45" s="1146">
        <f t="shared" si="175"/>
        <v>0.97767587715378967</v>
      </c>
      <c r="ES45" s="1159">
        <f t="shared" si="176"/>
        <v>1.486173811497888</v>
      </c>
      <c r="ET45" s="1167">
        <f t="shared" si="177"/>
        <v>2</v>
      </c>
      <c r="EU45" s="1155">
        <f t="shared" si="178"/>
        <v>0.74308690574894398</v>
      </c>
      <c r="EV45" s="1159">
        <f t="shared" si="179"/>
        <v>2.1399161388733767</v>
      </c>
      <c r="EW45" s="1167">
        <f t="shared" si="180"/>
        <v>3</v>
      </c>
      <c r="EX45" s="1155">
        <f t="shared" si="181"/>
        <v>0.71330537962445895</v>
      </c>
    </row>
    <row r="46" spans="2:154">
      <c r="B46" s="1234" t="s">
        <v>1272</v>
      </c>
      <c r="C46" s="1223">
        <v>9</v>
      </c>
      <c r="D46" s="1224" t="s">
        <v>1264</v>
      </c>
      <c r="E46" s="1224" t="s">
        <v>1265</v>
      </c>
      <c r="F46" s="1225" t="s">
        <v>1266</v>
      </c>
      <c r="V46" s="1286">
        <v>16.100000000000001</v>
      </c>
      <c r="W46" s="1295">
        <v>2.0049999999999999</v>
      </c>
      <c r="X46" s="1298">
        <v>95.36</v>
      </c>
      <c r="Y46" s="1289">
        <v>711.90804597701106</v>
      </c>
      <c r="Z46" s="1255" t="s">
        <v>1058</v>
      </c>
      <c r="AA46" s="1293">
        <v>6.883</v>
      </c>
      <c r="AB46" s="1297">
        <v>17</v>
      </c>
      <c r="AC46" s="1266">
        <v>1.1730679732581639</v>
      </c>
      <c r="AD46" s="1271" t="s">
        <v>1058</v>
      </c>
      <c r="AE46" s="1271" t="s">
        <v>1058</v>
      </c>
      <c r="AF46" s="1264">
        <v>157.73147727272729</v>
      </c>
      <c r="AG46" s="1288">
        <v>116.90900000000002</v>
      </c>
      <c r="AH46" s="1273">
        <v>4</v>
      </c>
      <c r="AI46" s="1273">
        <v>2</v>
      </c>
      <c r="AJ46" s="1273">
        <v>2</v>
      </c>
      <c r="AK46" s="1273">
        <v>1</v>
      </c>
      <c r="AL46" s="1273">
        <v>1</v>
      </c>
      <c r="AM46" s="1273">
        <v>2</v>
      </c>
      <c r="AN46" s="1273">
        <v>3</v>
      </c>
      <c r="AO46" s="1273">
        <v>2</v>
      </c>
      <c r="AP46" s="1253">
        <v>108</v>
      </c>
      <c r="AQ46" s="1273"/>
      <c r="AR46" s="1273">
        <v>2</v>
      </c>
      <c r="AS46" s="1273">
        <v>5</v>
      </c>
      <c r="AT46" s="1273">
        <v>2</v>
      </c>
      <c r="AU46" s="1273"/>
      <c r="AV46" s="1133">
        <f t="shared" si="84"/>
        <v>3.81</v>
      </c>
      <c r="AW46" s="1134">
        <f t="shared" si="85"/>
        <v>1.25</v>
      </c>
      <c r="AX46" s="1134">
        <f t="shared" si="86"/>
        <v>0.15</v>
      </c>
      <c r="AY46" s="1135">
        <f t="shared" si="87"/>
        <v>2.0049999999999999</v>
      </c>
      <c r="AZ46" s="1136">
        <f t="shared" si="88"/>
        <v>0.99914803549648223</v>
      </c>
      <c r="BA46" s="1137">
        <f t="shared" si="89"/>
        <v>0.89993809999999996</v>
      </c>
      <c r="BB46" s="956">
        <f t="shared" si="90"/>
        <v>1.06</v>
      </c>
      <c r="BC46" s="1138">
        <f t="shared" si="91"/>
        <v>1.1000000000000001</v>
      </c>
      <c r="BD46" s="1139">
        <f t="shared" si="92"/>
        <v>95.36</v>
      </c>
      <c r="BE46" s="1138">
        <f t="shared" si="93"/>
        <v>0.43487817195877898</v>
      </c>
      <c r="BF46" s="1140">
        <f t="shared" si="94"/>
        <v>1</v>
      </c>
      <c r="BG46" s="1137">
        <f t="shared" si="95"/>
        <v>0.03</v>
      </c>
      <c r="BH46" s="956">
        <f t="shared" si="96"/>
        <v>1.35</v>
      </c>
      <c r="BI46" s="956">
        <f t="shared" si="97"/>
        <v>1.08</v>
      </c>
      <c r="BJ46" s="956">
        <f t="shared" si="98"/>
        <v>0</v>
      </c>
      <c r="BK46" s="956">
        <f t="shared" si="99"/>
        <v>1.08</v>
      </c>
      <c r="BL46" s="956">
        <f t="shared" si="100"/>
        <v>0</v>
      </c>
      <c r="BM46" s="1141">
        <f t="shared" si="101"/>
        <v>711.90804597701106</v>
      </c>
      <c r="BN46" s="1142">
        <f t="shared" si="102"/>
        <v>0.9999999999987792</v>
      </c>
      <c r="BO46" s="1143">
        <f t="shared" si="103"/>
        <v>0.43227500000000002</v>
      </c>
      <c r="BP46" s="1144">
        <f t="shared" si="104"/>
        <v>1</v>
      </c>
      <c r="BQ46" s="1134">
        <f t="shared" si="105"/>
        <v>0.9</v>
      </c>
      <c r="BR46" s="1145" t="str">
        <f t="shared" si="106"/>
        <v>.</v>
      </c>
      <c r="BS46" s="1146" t="e">
        <f t="shared" si="107"/>
        <v>#VALUE!</v>
      </c>
      <c r="BT46" s="1147">
        <f>VLOOKUP(AP46,'CROP FACTORS'!$C$5:$N$130,7,FALSE)</f>
        <v>5.5</v>
      </c>
      <c r="BU46" s="1148">
        <f>VLOOKUP(AP46,'CROP FACTORS'!$C$5:$P$130,8,FALSE)</f>
        <v>2</v>
      </c>
      <c r="BV46" s="1149">
        <f t="shared" si="108"/>
        <v>6.883</v>
      </c>
      <c r="BW46" s="1150">
        <f t="shared" si="109"/>
        <v>0.7873470691861908</v>
      </c>
      <c r="BX46" s="1137">
        <f>VLOOKUP(AP46,'CROP FACTORS'!$C$5:$N$130,10,FALSE)</f>
        <v>12</v>
      </c>
      <c r="BY46" s="1138">
        <f t="shared" si="110"/>
        <v>70.512592799999993</v>
      </c>
      <c r="BZ46" s="956">
        <f t="shared" si="111"/>
        <v>0.01</v>
      </c>
      <c r="CA46" s="956">
        <f t="shared" si="112"/>
        <v>0.99</v>
      </c>
      <c r="CB46" s="1148">
        <f t="shared" si="113"/>
        <v>71.912232510783596</v>
      </c>
      <c r="CC46" s="1148">
        <f t="shared" si="114"/>
        <v>70.505541540719989</v>
      </c>
      <c r="CD46" s="956">
        <f t="shared" si="115"/>
        <v>140</v>
      </c>
      <c r="CE46" s="956">
        <f t="shared" si="116"/>
        <v>90000</v>
      </c>
      <c r="CF46" s="956">
        <f t="shared" si="117"/>
        <v>1</v>
      </c>
      <c r="CG46" s="956">
        <f t="shared" si="118"/>
        <v>0.02</v>
      </c>
      <c r="CH46" s="956">
        <f t="shared" si="119"/>
        <v>91804.5</v>
      </c>
      <c r="CI46" s="956">
        <f t="shared" si="120"/>
        <v>91800</v>
      </c>
      <c r="CJ46" s="1138">
        <f t="shared" si="121"/>
        <v>1.25</v>
      </c>
      <c r="CK46" s="1138">
        <f t="shared" si="122"/>
        <v>2.1</v>
      </c>
      <c r="CL46" s="1138">
        <f t="shared" si="123"/>
        <v>1.25</v>
      </c>
      <c r="CM46" s="1138">
        <f t="shared" si="124"/>
        <v>1.25</v>
      </c>
      <c r="CN46" s="1151">
        <f t="shared" si="125"/>
        <v>17</v>
      </c>
      <c r="CO46" s="1138">
        <f t="shared" si="126"/>
        <v>1</v>
      </c>
      <c r="CP46" s="1138">
        <f t="shared" si="127"/>
        <v>1</v>
      </c>
      <c r="CQ46" s="1152">
        <f t="shared" si="128"/>
        <v>1</v>
      </c>
      <c r="CR46" s="1153">
        <f t="shared" si="129"/>
        <v>1</v>
      </c>
      <c r="CS46" s="1137">
        <f t="shared" si="130"/>
        <v>0.79400000000000004</v>
      </c>
      <c r="CT46" s="956">
        <f t="shared" si="131"/>
        <v>88.025000000000006</v>
      </c>
      <c r="CU46" s="956">
        <f t="shared" si="132"/>
        <v>-12.061</v>
      </c>
      <c r="CV46" s="956">
        <f t="shared" si="133"/>
        <v>0</v>
      </c>
      <c r="CW46" s="956">
        <f t="shared" si="134"/>
        <v>9.3587152000000007</v>
      </c>
      <c r="CX46" s="956">
        <f t="shared" si="135"/>
        <v>-10.275524000000001</v>
      </c>
      <c r="CY46" s="1154">
        <f t="shared" si="136"/>
        <v>1.1730679732581639</v>
      </c>
      <c r="CZ46" s="1155">
        <f t="shared" si="137"/>
        <v>0.99399788979488779</v>
      </c>
      <c r="DA46" s="1137" t="e">
        <f>MIN(VLOOKUP(AP46,'CROP FACTORS'!$C$5:$N$130,2,FALSE),VLOOKUP(AQ46,'CROP FACTORS'!$C$5:$N$130,2,FALSE))</f>
        <v>#N/A</v>
      </c>
      <c r="DB46" s="956" t="e">
        <f>MIN(VLOOKUP(AP46,'CROP FACTORS'!$C$5:$N$130,4,FALSE),VLOOKUP(AQ46,'CROP FACTORS'!$C$5:$N$130,4,FALSE))</f>
        <v>#N/A</v>
      </c>
      <c r="DC46" s="1156" t="e">
        <f t="shared" si="138"/>
        <v>#N/A</v>
      </c>
      <c r="DD46" s="1138">
        <f t="shared" si="139"/>
        <v>1.07</v>
      </c>
      <c r="DE46" s="1157" t="str">
        <f t="shared" si="140"/>
        <v>.</v>
      </c>
      <c r="DF46" s="1138" t="e">
        <f t="shared" si="141"/>
        <v>#N/A</v>
      </c>
      <c r="DG46" s="1158" t="e">
        <f t="shared" si="142"/>
        <v>#N/A</v>
      </c>
      <c r="DH46" s="1159" t="str">
        <f t="shared" si="143"/>
        <v>.</v>
      </c>
      <c r="DI46" s="1153" t="e">
        <f t="shared" si="144"/>
        <v>#VALUE!</v>
      </c>
      <c r="DJ46" s="1133">
        <f t="shared" si="145"/>
        <v>5.8</v>
      </c>
      <c r="DK46" s="1160">
        <f t="shared" si="146"/>
        <v>2.9</v>
      </c>
      <c r="DL46" s="1134">
        <f t="shared" si="147"/>
        <v>2.1</v>
      </c>
      <c r="DM46" s="1161">
        <f t="shared" si="148"/>
        <v>157.73147727272729</v>
      </c>
      <c r="DN46" s="1144">
        <f t="shared" si="149"/>
        <v>52.142000000000003</v>
      </c>
      <c r="DO46" s="1162">
        <f t="shared" si="150"/>
        <v>0.99706571157075441</v>
      </c>
      <c r="DP46" s="1163">
        <f t="shared" si="151"/>
        <v>0.99706571157075441</v>
      </c>
      <c r="DQ46" s="1133">
        <f t="shared" si="152"/>
        <v>1.0541</v>
      </c>
      <c r="DR46" s="1134">
        <f t="shared" si="153"/>
        <v>-9.8099999999999993E-3</v>
      </c>
      <c r="DS46" s="1164">
        <f t="shared" si="154"/>
        <v>116.90900000000002</v>
      </c>
      <c r="DT46" s="1146">
        <f t="shared" si="155"/>
        <v>0.719289295387052</v>
      </c>
      <c r="DU46" s="1165">
        <f t="shared" si="156"/>
        <v>0.99914803549648223</v>
      </c>
      <c r="DV46" s="1166">
        <f t="shared" si="157"/>
        <v>1</v>
      </c>
      <c r="DW46" s="1166">
        <f t="shared" si="158"/>
        <v>0.9999999999987792</v>
      </c>
      <c r="DX46" s="1166"/>
      <c r="DY46" s="1166">
        <f t="shared" si="159"/>
        <v>0.7873470691861908</v>
      </c>
      <c r="DZ46" s="1166">
        <f t="shared" si="160"/>
        <v>1</v>
      </c>
      <c r="EA46" s="1138"/>
      <c r="EB46" s="1166">
        <f t="shared" si="161"/>
        <v>0.99399788979488779</v>
      </c>
      <c r="EC46" s="1166"/>
      <c r="ED46" s="1138"/>
      <c r="EE46" s="1166">
        <f t="shared" si="162"/>
        <v>0.99706571157075441</v>
      </c>
      <c r="EF46" s="1140">
        <f t="shared" si="163"/>
        <v>0.719289295387052</v>
      </c>
      <c r="EG46" s="1159">
        <f t="shared" si="164"/>
        <v>7.496848001434147</v>
      </c>
      <c r="EH46" s="1167">
        <f t="shared" si="165"/>
        <v>8</v>
      </c>
      <c r="EI46" s="1312">
        <f t="shared" si="166"/>
        <v>0.93710600017926837</v>
      </c>
      <c r="EJ46" s="1168">
        <f t="shared" si="167"/>
        <v>1.9939978897948878</v>
      </c>
      <c r="EK46" s="1169">
        <f t="shared" si="168"/>
        <v>2</v>
      </c>
      <c r="EL46" s="1170">
        <f t="shared" si="169"/>
        <v>0.9969989448974439</v>
      </c>
      <c r="EM46" s="1159">
        <f t="shared" si="170"/>
        <v>0.7873470691861908</v>
      </c>
      <c r="EN46" s="1167">
        <f t="shared" si="171"/>
        <v>1</v>
      </c>
      <c r="EO46" s="1171">
        <f t="shared" si="172"/>
        <v>0.7873470691861908</v>
      </c>
      <c r="EP46" s="1168">
        <f t="shared" si="173"/>
        <v>2.9962137470660157</v>
      </c>
      <c r="EQ46" s="1169">
        <f t="shared" si="174"/>
        <v>3</v>
      </c>
      <c r="ER46" s="1146">
        <f t="shared" si="175"/>
        <v>0.99873791568867187</v>
      </c>
      <c r="ES46" s="1159">
        <f t="shared" si="176"/>
        <v>1.719289295387052</v>
      </c>
      <c r="ET46" s="1167">
        <f t="shared" si="177"/>
        <v>2</v>
      </c>
      <c r="EU46" s="1155">
        <f t="shared" si="178"/>
        <v>0.859644647693526</v>
      </c>
      <c r="EV46" s="1159">
        <f t="shared" si="179"/>
        <v>2.506636364573243</v>
      </c>
      <c r="EW46" s="1167">
        <f t="shared" si="180"/>
        <v>3</v>
      </c>
      <c r="EX46" s="1155">
        <f t="shared" si="181"/>
        <v>0.83554545485774767</v>
      </c>
    </row>
    <row r="47" spans="2:154">
      <c r="B47" s="1233" t="s">
        <v>1272</v>
      </c>
      <c r="C47" s="1219">
        <v>1</v>
      </c>
      <c r="D47" s="1226" t="s">
        <v>1267</v>
      </c>
      <c r="E47" s="1226" t="s">
        <v>1268</v>
      </c>
      <c r="F47" s="1227" t="s">
        <v>1273</v>
      </c>
      <c r="V47" s="1278">
        <v>17.7</v>
      </c>
      <c r="W47" s="1262">
        <v>1.27</v>
      </c>
      <c r="X47" s="1283">
        <v>87.833333333333329</v>
      </c>
      <c r="Y47" s="1272">
        <v>331.20927139735915</v>
      </c>
      <c r="Z47" s="1255" t="s">
        <v>1058</v>
      </c>
      <c r="AA47" s="1277">
        <v>4.6701999999999995</v>
      </c>
      <c r="AB47" s="1261">
        <v>7</v>
      </c>
      <c r="AC47" s="1294">
        <v>1.5654648956356738</v>
      </c>
      <c r="AD47" s="1271" t="s">
        <v>1058</v>
      </c>
      <c r="AE47" s="1271" t="s">
        <v>1058</v>
      </c>
      <c r="AF47" s="1254">
        <v>249.87734203016711</v>
      </c>
      <c r="AG47" s="1282">
        <v>115.345</v>
      </c>
      <c r="AH47" s="1267">
        <v>4</v>
      </c>
      <c r="AI47" s="1267">
        <v>2</v>
      </c>
      <c r="AJ47" s="1267">
        <v>2</v>
      </c>
      <c r="AK47" s="1267">
        <v>1</v>
      </c>
      <c r="AL47" s="1267">
        <v>1</v>
      </c>
      <c r="AM47" s="1267">
        <v>2</v>
      </c>
      <c r="AN47" s="1267">
        <v>3</v>
      </c>
      <c r="AO47" s="1267">
        <v>2</v>
      </c>
      <c r="AP47" s="1267">
        <v>109</v>
      </c>
      <c r="AQ47" s="1267"/>
      <c r="AR47" s="1267">
        <v>2</v>
      </c>
      <c r="AS47" s="1267">
        <v>5</v>
      </c>
      <c r="AT47" s="1267">
        <v>2</v>
      </c>
      <c r="AU47" s="1267"/>
      <c r="AV47" s="1133">
        <f t="shared" si="84"/>
        <v>3.81</v>
      </c>
      <c r="AW47" s="1134">
        <f t="shared" si="85"/>
        <v>1.25</v>
      </c>
      <c r="AX47" s="1134">
        <f t="shared" si="86"/>
        <v>0.15</v>
      </c>
      <c r="AY47" s="1135">
        <f t="shared" si="87"/>
        <v>1.27</v>
      </c>
      <c r="AZ47" s="1136">
        <f t="shared" si="88"/>
        <v>0.95441893154966351</v>
      </c>
      <c r="BA47" s="1137">
        <f t="shared" si="89"/>
        <v>0.89993809999999996</v>
      </c>
      <c r="BB47" s="956">
        <f t="shared" si="90"/>
        <v>1.06</v>
      </c>
      <c r="BC47" s="1138">
        <f t="shared" si="91"/>
        <v>1.1000000000000001</v>
      </c>
      <c r="BD47" s="1139">
        <f t="shared" si="92"/>
        <v>87.833333333333329</v>
      </c>
      <c r="BE47" s="1138">
        <f t="shared" si="93"/>
        <v>0.61486259198694182</v>
      </c>
      <c r="BF47" s="1140">
        <f t="shared" si="94"/>
        <v>1</v>
      </c>
      <c r="BG47" s="1137">
        <f t="shared" si="95"/>
        <v>0.03</v>
      </c>
      <c r="BH47" s="956">
        <f t="shared" si="96"/>
        <v>1.35</v>
      </c>
      <c r="BI47" s="956">
        <f t="shared" si="97"/>
        <v>1.08</v>
      </c>
      <c r="BJ47" s="956">
        <f t="shared" si="98"/>
        <v>0</v>
      </c>
      <c r="BK47" s="956">
        <f t="shared" si="99"/>
        <v>1.08</v>
      </c>
      <c r="BL47" s="956">
        <f t="shared" si="100"/>
        <v>0</v>
      </c>
      <c r="BM47" s="1141">
        <f t="shared" si="101"/>
        <v>331.20927139735915</v>
      </c>
      <c r="BN47" s="1142">
        <f t="shared" si="102"/>
        <v>0.99997918231287608</v>
      </c>
      <c r="BO47" s="1143">
        <f t="shared" si="103"/>
        <v>0.43227500000000002</v>
      </c>
      <c r="BP47" s="1144">
        <f t="shared" si="104"/>
        <v>1</v>
      </c>
      <c r="BQ47" s="1134">
        <f t="shared" si="105"/>
        <v>0.9</v>
      </c>
      <c r="BR47" s="1145" t="str">
        <f t="shared" si="106"/>
        <v>.</v>
      </c>
      <c r="BS47" s="1146" t="e">
        <f t="shared" si="107"/>
        <v>#VALUE!</v>
      </c>
      <c r="BT47" s="1147">
        <f>VLOOKUP(AP47,'CROP FACTORS'!$C$5:$N$130,7,FALSE)</f>
        <v>5.5</v>
      </c>
      <c r="BU47" s="1148">
        <f>VLOOKUP(AP47,'CROP FACTORS'!$C$5:$P$130,8,FALSE)</f>
        <v>1</v>
      </c>
      <c r="BV47" s="1149">
        <f t="shared" si="108"/>
        <v>4.6701999999999995</v>
      </c>
      <c r="BW47" s="1150">
        <f t="shared" si="109"/>
        <v>0.70872760664637158</v>
      </c>
      <c r="BX47" s="1137">
        <f>VLOOKUP(AP47,'CROP FACTORS'!$C$5:$N$130,10,FALSE)</f>
        <v>13</v>
      </c>
      <c r="BY47" s="1138">
        <f t="shared" si="110"/>
        <v>88.484687800000074</v>
      </c>
      <c r="BZ47" s="956">
        <f t="shared" si="111"/>
        <v>0.01</v>
      </c>
      <c r="CA47" s="956">
        <f t="shared" si="112"/>
        <v>0.99</v>
      </c>
      <c r="CB47" s="1148">
        <f t="shared" si="113"/>
        <v>89.597205779709469</v>
      </c>
      <c r="CC47" s="1148">
        <f t="shared" si="114"/>
        <v>88.475839331220072</v>
      </c>
      <c r="CD47" s="956">
        <f t="shared" si="115"/>
        <v>140</v>
      </c>
      <c r="CE47" s="956">
        <f t="shared" si="116"/>
        <v>90000</v>
      </c>
      <c r="CF47" s="956">
        <f t="shared" si="117"/>
        <v>1</v>
      </c>
      <c r="CG47" s="956">
        <f t="shared" si="118"/>
        <v>0.02</v>
      </c>
      <c r="CH47" s="956">
        <f t="shared" si="119"/>
        <v>91143</v>
      </c>
      <c r="CI47" s="956">
        <f t="shared" si="120"/>
        <v>91800</v>
      </c>
      <c r="CJ47" s="1138">
        <f t="shared" si="121"/>
        <v>1.25</v>
      </c>
      <c r="CK47" s="1138">
        <f t="shared" si="122"/>
        <v>2.1</v>
      </c>
      <c r="CL47" s="1138">
        <f t="shared" si="123"/>
        <v>1.25</v>
      </c>
      <c r="CM47" s="1138">
        <f t="shared" si="124"/>
        <v>1.25</v>
      </c>
      <c r="CN47" s="1151">
        <f t="shared" si="125"/>
        <v>7</v>
      </c>
      <c r="CO47" s="1138">
        <f t="shared" si="126"/>
        <v>0.89491794631410193</v>
      </c>
      <c r="CP47" s="1138">
        <f t="shared" si="127"/>
        <v>0.89609646355811889</v>
      </c>
      <c r="CQ47" s="1152">
        <f t="shared" si="128"/>
        <v>0.89491794631410193</v>
      </c>
      <c r="CR47" s="1153">
        <f t="shared" si="129"/>
        <v>0.89609646355811889</v>
      </c>
      <c r="CS47" s="1137">
        <f t="shared" si="130"/>
        <v>0.79400000000000004</v>
      </c>
      <c r="CT47" s="956">
        <f t="shared" si="131"/>
        <v>88.025000000000006</v>
      </c>
      <c r="CU47" s="956">
        <f t="shared" si="132"/>
        <v>-12.061</v>
      </c>
      <c r="CV47" s="956">
        <f t="shared" si="133"/>
        <v>0</v>
      </c>
      <c r="CW47" s="956">
        <f t="shared" si="134"/>
        <v>9.3587152000000007</v>
      </c>
      <c r="CX47" s="956">
        <f t="shared" si="135"/>
        <v>-10.275524000000001</v>
      </c>
      <c r="CY47" s="1154">
        <f t="shared" si="136"/>
        <v>1.5654648956356738</v>
      </c>
      <c r="CZ47" s="1155">
        <f t="shared" si="137"/>
        <v>0.45930034479956172</v>
      </c>
      <c r="DA47" s="1137" t="e">
        <f>MIN(VLOOKUP(AP47,'CROP FACTORS'!$C$5:$N$130,2,FALSE),VLOOKUP(AQ47,'CROP FACTORS'!$C$5:$N$130,2,FALSE))</f>
        <v>#N/A</v>
      </c>
      <c r="DB47" s="956" t="e">
        <f>MIN(VLOOKUP(AP47,'CROP FACTORS'!$C$5:$N$130,4,FALSE),VLOOKUP(AQ47,'CROP FACTORS'!$C$5:$N$130,4,FALSE))</f>
        <v>#N/A</v>
      </c>
      <c r="DC47" s="1156" t="e">
        <f t="shared" si="138"/>
        <v>#N/A</v>
      </c>
      <c r="DD47" s="1138">
        <f t="shared" si="139"/>
        <v>1.07</v>
      </c>
      <c r="DE47" s="1157" t="str">
        <f t="shared" si="140"/>
        <v>.</v>
      </c>
      <c r="DF47" s="1138" t="e">
        <f t="shared" si="141"/>
        <v>#N/A</v>
      </c>
      <c r="DG47" s="1158" t="e">
        <f t="shared" si="142"/>
        <v>#N/A</v>
      </c>
      <c r="DH47" s="1159" t="str">
        <f t="shared" si="143"/>
        <v>.</v>
      </c>
      <c r="DI47" s="1153" t="e">
        <f t="shared" si="144"/>
        <v>#VALUE!</v>
      </c>
      <c r="DJ47" s="1133">
        <f t="shared" si="145"/>
        <v>5.8</v>
      </c>
      <c r="DK47" s="1160">
        <f t="shared" si="146"/>
        <v>2.9</v>
      </c>
      <c r="DL47" s="1134">
        <f t="shared" si="147"/>
        <v>2.1</v>
      </c>
      <c r="DM47" s="1161">
        <f t="shared" si="148"/>
        <v>249.87734203016711</v>
      </c>
      <c r="DN47" s="1144">
        <f t="shared" si="149"/>
        <v>52.142000000000003</v>
      </c>
      <c r="DO47" s="1162">
        <f t="shared" si="150"/>
        <v>1.0098926869699205</v>
      </c>
      <c r="DP47" s="1163">
        <f t="shared" si="151"/>
        <v>1</v>
      </c>
      <c r="DQ47" s="1133">
        <f t="shared" si="152"/>
        <v>1.0541</v>
      </c>
      <c r="DR47" s="1134">
        <f t="shared" si="153"/>
        <v>-9.8099999999999993E-3</v>
      </c>
      <c r="DS47" s="1164">
        <f t="shared" si="154"/>
        <v>115.345</v>
      </c>
      <c r="DT47" s="1146">
        <f t="shared" si="155"/>
        <v>0.71411273832005095</v>
      </c>
      <c r="DU47" s="1165">
        <f t="shared" si="156"/>
        <v>0.95441893154966351</v>
      </c>
      <c r="DV47" s="1166">
        <f t="shared" si="157"/>
        <v>1</v>
      </c>
      <c r="DW47" s="1166">
        <f t="shared" si="158"/>
        <v>0.99997918231287608</v>
      </c>
      <c r="DX47" s="1166"/>
      <c r="DY47" s="1166">
        <f t="shared" si="159"/>
        <v>0.70872760664637158</v>
      </c>
      <c r="DZ47" s="1166">
        <f t="shared" si="160"/>
        <v>0.89491794631410193</v>
      </c>
      <c r="EA47" s="1138"/>
      <c r="EB47" s="1166">
        <f t="shared" si="161"/>
        <v>0.45930034479956172</v>
      </c>
      <c r="EC47" s="1166"/>
      <c r="ED47" s="1138"/>
      <c r="EE47" s="1166">
        <f t="shared" si="162"/>
        <v>1</v>
      </c>
      <c r="EF47" s="1140">
        <f t="shared" si="163"/>
        <v>0.71411273832005095</v>
      </c>
      <c r="EG47" s="1159">
        <f t="shared" si="164"/>
        <v>6.7314567499426268</v>
      </c>
      <c r="EH47" s="1167">
        <f t="shared" si="165"/>
        <v>8</v>
      </c>
      <c r="EI47" s="1150">
        <f t="shared" si="166"/>
        <v>0.84143209374282835</v>
      </c>
      <c r="EJ47" s="1168">
        <f t="shared" si="167"/>
        <v>1.4593003447995616</v>
      </c>
      <c r="EK47" s="1169">
        <f t="shared" si="168"/>
        <v>2</v>
      </c>
      <c r="EL47" s="1170">
        <f t="shared" si="169"/>
        <v>0.72965017239978081</v>
      </c>
      <c r="EM47" s="1159">
        <f t="shared" si="170"/>
        <v>0.70872760664637158</v>
      </c>
      <c r="EN47" s="1167">
        <f t="shared" si="171"/>
        <v>1</v>
      </c>
      <c r="EO47" s="1171">
        <f t="shared" si="172"/>
        <v>0.70872760664637158</v>
      </c>
      <c r="EP47" s="1168">
        <f t="shared" si="173"/>
        <v>2.9543981138625397</v>
      </c>
      <c r="EQ47" s="1169">
        <f t="shared" si="174"/>
        <v>3</v>
      </c>
      <c r="ER47" s="1146">
        <f t="shared" si="175"/>
        <v>0.98479937128751327</v>
      </c>
      <c r="ES47" s="1159">
        <f t="shared" si="176"/>
        <v>1.6090306846341529</v>
      </c>
      <c r="ET47" s="1167">
        <f t="shared" si="177"/>
        <v>2</v>
      </c>
      <c r="EU47" s="1155">
        <f t="shared" si="178"/>
        <v>0.80451534231707644</v>
      </c>
      <c r="EV47" s="1159">
        <f t="shared" si="179"/>
        <v>2.3177582912805246</v>
      </c>
      <c r="EW47" s="1167">
        <f t="shared" si="180"/>
        <v>3</v>
      </c>
      <c r="EX47" s="1155">
        <f t="shared" si="181"/>
        <v>0.77258609709350823</v>
      </c>
    </row>
    <row r="48" spans="2:154">
      <c r="B48" s="1233" t="s">
        <v>1272</v>
      </c>
      <c r="C48" s="1219">
        <v>2</v>
      </c>
      <c r="D48" s="1226" t="s">
        <v>1267</v>
      </c>
      <c r="E48" s="1226" t="s">
        <v>1268</v>
      </c>
      <c r="F48" s="1227" t="s">
        <v>1273</v>
      </c>
      <c r="V48" s="1278">
        <v>17.600000000000001</v>
      </c>
      <c r="W48" s="1262">
        <v>1.4350000000000001</v>
      </c>
      <c r="X48" s="1283">
        <v>82.660000000000011</v>
      </c>
      <c r="Y48" s="1272">
        <v>357.16371259767493</v>
      </c>
      <c r="Z48" s="1255" t="s">
        <v>1058</v>
      </c>
      <c r="AA48" s="1277">
        <v>4.3936000000000002</v>
      </c>
      <c r="AB48" s="1261">
        <v>10.4</v>
      </c>
      <c r="AC48" s="1294">
        <v>1.5785836437322838</v>
      </c>
      <c r="AD48" s="1271" t="s">
        <v>1058</v>
      </c>
      <c r="AE48" s="1271" t="s">
        <v>1058</v>
      </c>
      <c r="AF48" s="1254">
        <v>253.35791044776121</v>
      </c>
      <c r="AG48" s="1282">
        <v>150.92599999999999</v>
      </c>
      <c r="AH48" s="1267">
        <v>4</v>
      </c>
      <c r="AI48" s="1267">
        <v>2</v>
      </c>
      <c r="AJ48" s="1267">
        <v>2</v>
      </c>
      <c r="AK48" s="1267">
        <v>1</v>
      </c>
      <c r="AL48" s="1267">
        <v>1</v>
      </c>
      <c r="AM48" s="1267">
        <v>2</v>
      </c>
      <c r="AN48" s="1267">
        <v>3</v>
      </c>
      <c r="AO48" s="1267">
        <v>2</v>
      </c>
      <c r="AP48" s="1267">
        <v>109</v>
      </c>
      <c r="AQ48" s="1267"/>
      <c r="AR48" s="1267">
        <v>2</v>
      </c>
      <c r="AS48" s="1267">
        <v>5</v>
      </c>
      <c r="AT48" s="1267">
        <v>2</v>
      </c>
      <c r="AU48" s="1267"/>
      <c r="AV48" s="1133">
        <f t="shared" si="84"/>
        <v>3.81</v>
      </c>
      <c r="AW48" s="1134">
        <f t="shared" si="85"/>
        <v>1.25</v>
      </c>
      <c r="AX48" s="1134">
        <f t="shared" si="86"/>
        <v>0.15</v>
      </c>
      <c r="AY48" s="1135">
        <f t="shared" si="87"/>
        <v>1.4350000000000001</v>
      </c>
      <c r="AZ48" s="1136">
        <f t="shared" si="88"/>
        <v>0.98102163034029521</v>
      </c>
      <c r="BA48" s="1137">
        <f t="shared" si="89"/>
        <v>0.89993809999999996</v>
      </c>
      <c r="BB48" s="956">
        <f t="shared" si="90"/>
        <v>1.06</v>
      </c>
      <c r="BC48" s="1138">
        <f t="shared" si="91"/>
        <v>1.1000000000000001</v>
      </c>
      <c r="BD48" s="1139">
        <f t="shared" si="92"/>
        <v>82.660000000000011</v>
      </c>
      <c r="BE48" s="1138">
        <f t="shared" si="93"/>
        <v>0.72104722404826382</v>
      </c>
      <c r="BF48" s="1140">
        <f t="shared" si="94"/>
        <v>1</v>
      </c>
      <c r="BG48" s="1137">
        <f t="shared" si="95"/>
        <v>0.03</v>
      </c>
      <c r="BH48" s="956">
        <f t="shared" si="96"/>
        <v>1.35</v>
      </c>
      <c r="BI48" s="956">
        <f t="shared" si="97"/>
        <v>1.08</v>
      </c>
      <c r="BJ48" s="956">
        <f t="shared" si="98"/>
        <v>0</v>
      </c>
      <c r="BK48" s="956">
        <f t="shared" si="99"/>
        <v>1.08</v>
      </c>
      <c r="BL48" s="956">
        <f t="shared" si="100"/>
        <v>0</v>
      </c>
      <c r="BM48" s="1141">
        <f t="shared" si="101"/>
        <v>357.16371259767493</v>
      </c>
      <c r="BN48" s="1142">
        <f t="shared" si="102"/>
        <v>0.99999331029459571</v>
      </c>
      <c r="BO48" s="1143">
        <f t="shared" si="103"/>
        <v>0.43227500000000002</v>
      </c>
      <c r="BP48" s="1144">
        <f t="shared" si="104"/>
        <v>1</v>
      </c>
      <c r="BQ48" s="1134">
        <f t="shared" si="105"/>
        <v>0.9</v>
      </c>
      <c r="BR48" s="1145" t="str">
        <f t="shared" si="106"/>
        <v>.</v>
      </c>
      <c r="BS48" s="1146" t="e">
        <f t="shared" si="107"/>
        <v>#VALUE!</v>
      </c>
      <c r="BT48" s="1147">
        <f>VLOOKUP(AP48,'CROP FACTORS'!$C$5:$N$130,7,FALSE)</f>
        <v>5.5</v>
      </c>
      <c r="BU48" s="1148">
        <f>VLOOKUP(AP48,'CROP FACTORS'!$C$5:$P$130,8,FALSE)</f>
        <v>1</v>
      </c>
      <c r="BV48" s="1149">
        <f t="shared" si="108"/>
        <v>4.3936000000000002</v>
      </c>
      <c r="BW48" s="1150">
        <f t="shared" si="109"/>
        <v>0.54223245810320009</v>
      </c>
      <c r="BX48" s="1137">
        <f>VLOOKUP(AP48,'CROP FACTORS'!$C$5:$N$130,10,FALSE)</f>
        <v>13</v>
      </c>
      <c r="BY48" s="1138">
        <f t="shared" si="110"/>
        <v>88.484687800000074</v>
      </c>
      <c r="BZ48" s="956">
        <f t="shared" si="111"/>
        <v>0.01</v>
      </c>
      <c r="CA48" s="956">
        <f t="shared" si="112"/>
        <v>0.99</v>
      </c>
      <c r="CB48" s="1148">
        <f t="shared" si="113"/>
        <v>89.741745517230783</v>
      </c>
      <c r="CC48" s="1148">
        <f t="shared" si="114"/>
        <v>88.475839331220072</v>
      </c>
      <c r="CD48" s="956">
        <f t="shared" si="115"/>
        <v>140</v>
      </c>
      <c r="CE48" s="956">
        <f t="shared" si="116"/>
        <v>90000</v>
      </c>
      <c r="CF48" s="956">
        <f t="shared" si="117"/>
        <v>1</v>
      </c>
      <c r="CG48" s="956">
        <f t="shared" si="118"/>
        <v>0.02</v>
      </c>
      <c r="CH48" s="956">
        <f t="shared" si="119"/>
        <v>91291.5</v>
      </c>
      <c r="CI48" s="956">
        <f t="shared" si="120"/>
        <v>91800</v>
      </c>
      <c r="CJ48" s="1138">
        <f t="shared" si="121"/>
        <v>1.25</v>
      </c>
      <c r="CK48" s="1138">
        <f t="shared" si="122"/>
        <v>2.1</v>
      </c>
      <c r="CL48" s="1138">
        <f t="shared" si="123"/>
        <v>1.25</v>
      </c>
      <c r="CM48" s="1138">
        <f t="shared" si="124"/>
        <v>1.25</v>
      </c>
      <c r="CN48" s="1151">
        <f t="shared" si="125"/>
        <v>10.4</v>
      </c>
      <c r="CO48" s="1138">
        <f t="shared" si="126"/>
        <v>0.96616433635786714</v>
      </c>
      <c r="CP48" s="1138">
        <f t="shared" si="127"/>
        <v>0.96662569632339923</v>
      </c>
      <c r="CQ48" s="1152">
        <f t="shared" si="128"/>
        <v>0.96616433635786714</v>
      </c>
      <c r="CR48" s="1153">
        <f t="shared" si="129"/>
        <v>0.96662569632339923</v>
      </c>
      <c r="CS48" s="1137">
        <f t="shared" si="130"/>
        <v>0.79400000000000004</v>
      </c>
      <c r="CT48" s="956">
        <f t="shared" si="131"/>
        <v>88.025000000000006</v>
      </c>
      <c r="CU48" s="956">
        <f t="shared" si="132"/>
        <v>-12.061</v>
      </c>
      <c r="CV48" s="956">
        <f t="shared" si="133"/>
        <v>0</v>
      </c>
      <c r="CW48" s="956">
        <f t="shared" si="134"/>
        <v>9.3587152000000007</v>
      </c>
      <c r="CX48" s="956">
        <f t="shared" si="135"/>
        <v>-10.275524000000001</v>
      </c>
      <c r="CY48" s="1154">
        <f t="shared" si="136"/>
        <v>1.5785836437322838</v>
      </c>
      <c r="CZ48" s="1155">
        <f t="shared" si="137"/>
        <v>0.43866956843659644</v>
      </c>
      <c r="DA48" s="1137" t="e">
        <f>MIN(VLOOKUP(AP48,'CROP FACTORS'!$C$5:$N$130,2,FALSE),VLOOKUP(AQ48,'CROP FACTORS'!$C$5:$N$130,2,FALSE))</f>
        <v>#N/A</v>
      </c>
      <c r="DB48" s="956" t="e">
        <f>MIN(VLOOKUP(AP48,'CROP FACTORS'!$C$5:$N$130,4,FALSE),VLOOKUP(AQ48,'CROP FACTORS'!$C$5:$N$130,4,FALSE))</f>
        <v>#N/A</v>
      </c>
      <c r="DC48" s="1156" t="e">
        <f t="shared" si="138"/>
        <v>#N/A</v>
      </c>
      <c r="DD48" s="1138">
        <f t="shared" si="139"/>
        <v>1.07</v>
      </c>
      <c r="DE48" s="1157" t="str">
        <f t="shared" si="140"/>
        <v>.</v>
      </c>
      <c r="DF48" s="1138" t="e">
        <f t="shared" si="141"/>
        <v>#N/A</v>
      </c>
      <c r="DG48" s="1158" t="e">
        <f t="shared" si="142"/>
        <v>#N/A</v>
      </c>
      <c r="DH48" s="1159" t="str">
        <f t="shared" si="143"/>
        <v>.</v>
      </c>
      <c r="DI48" s="1153" t="e">
        <f t="shared" si="144"/>
        <v>#VALUE!</v>
      </c>
      <c r="DJ48" s="1133">
        <f t="shared" si="145"/>
        <v>5.8</v>
      </c>
      <c r="DK48" s="1160">
        <f t="shared" si="146"/>
        <v>2.9</v>
      </c>
      <c r="DL48" s="1134">
        <f t="shared" si="147"/>
        <v>2.1</v>
      </c>
      <c r="DM48" s="1161">
        <f t="shared" si="148"/>
        <v>253.35791044776121</v>
      </c>
      <c r="DN48" s="1144">
        <f t="shared" si="149"/>
        <v>52.142000000000003</v>
      </c>
      <c r="DO48" s="1162">
        <f t="shared" si="150"/>
        <v>1.0099104959465526</v>
      </c>
      <c r="DP48" s="1163">
        <f t="shared" si="151"/>
        <v>1</v>
      </c>
      <c r="DQ48" s="1133">
        <f t="shared" si="152"/>
        <v>1.0541</v>
      </c>
      <c r="DR48" s="1134">
        <f t="shared" si="153"/>
        <v>-9.8099999999999993E-3</v>
      </c>
      <c r="DS48" s="1164">
        <f t="shared" si="154"/>
        <v>150.92599999999999</v>
      </c>
      <c r="DT48" s="1146">
        <f t="shared" si="155"/>
        <v>0.81428721863886666</v>
      </c>
      <c r="DU48" s="1165">
        <f t="shared" si="156"/>
        <v>0.98102163034029521</v>
      </c>
      <c r="DV48" s="1166">
        <f t="shared" si="157"/>
        <v>1</v>
      </c>
      <c r="DW48" s="1166">
        <f t="shared" si="158"/>
        <v>0.99999331029459571</v>
      </c>
      <c r="DX48" s="1166"/>
      <c r="DY48" s="1166">
        <f t="shared" si="159"/>
        <v>0.54223245810320009</v>
      </c>
      <c r="DZ48" s="1166">
        <f t="shared" si="160"/>
        <v>0.96616433635786714</v>
      </c>
      <c r="EA48" s="1138"/>
      <c r="EB48" s="1166">
        <f t="shared" si="161"/>
        <v>0.43866956843659644</v>
      </c>
      <c r="EC48" s="1166"/>
      <c r="ED48" s="1138"/>
      <c r="EE48" s="1166">
        <f t="shared" si="162"/>
        <v>1</v>
      </c>
      <c r="EF48" s="1140">
        <f t="shared" si="163"/>
        <v>0.81428721863886666</v>
      </c>
      <c r="EG48" s="1159">
        <f t="shared" si="164"/>
        <v>6.7423685221714207</v>
      </c>
      <c r="EH48" s="1167">
        <f t="shared" si="165"/>
        <v>8</v>
      </c>
      <c r="EI48" s="1150">
        <f t="shared" si="166"/>
        <v>0.84279606527142759</v>
      </c>
      <c r="EJ48" s="1168">
        <f t="shared" si="167"/>
        <v>1.4386695684365964</v>
      </c>
      <c r="EK48" s="1169">
        <f t="shared" si="168"/>
        <v>2</v>
      </c>
      <c r="EL48" s="1170">
        <f t="shared" si="169"/>
        <v>0.71933478421829822</v>
      </c>
      <c r="EM48" s="1159">
        <f t="shared" si="170"/>
        <v>0.54223245810320009</v>
      </c>
      <c r="EN48" s="1167">
        <f t="shared" si="171"/>
        <v>1</v>
      </c>
      <c r="EO48" s="1171">
        <f t="shared" si="172"/>
        <v>0.54223245810320009</v>
      </c>
      <c r="EP48" s="1168">
        <f t="shared" si="173"/>
        <v>2.9810149406348909</v>
      </c>
      <c r="EQ48" s="1169">
        <f t="shared" si="174"/>
        <v>3</v>
      </c>
      <c r="ER48" s="1146">
        <f t="shared" si="175"/>
        <v>0.99367164687829701</v>
      </c>
      <c r="ES48" s="1159">
        <f t="shared" si="176"/>
        <v>1.7804515549967337</v>
      </c>
      <c r="ET48" s="1167">
        <f t="shared" si="177"/>
        <v>2</v>
      </c>
      <c r="EU48" s="1155">
        <f t="shared" si="178"/>
        <v>0.89022577749836684</v>
      </c>
      <c r="EV48" s="1159">
        <f t="shared" si="179"/>
        <v>2.3226840130999338</v>
      </c>
      <c r="EW48" s="1167">
        <f t="shared" si="180"/>
        <v>3</v>
      </c>
      <c r="EX48" s="1155">
        <f t="shared" si="181"/>
        <v>0.77422800436664463</v>
      </c>
    </row>
    <row r="49" spans="2:154">
      <c r="B49" s="1233" t="s">
        <v>1272</v>
      </c>
      <c r="C49" s="1219">
        <v>3</v>
      </c>
      <c r="D49" s="1226" t="s">
        <v>1267</v>
      </c>
      <c r="E49" s="1226" t="s">
        <v>1268</v>
      </c>
      <c r="F49" s="1227" t="s">
        <v>1273</v>
      </c>
      <c r="V49" s="1278">
        <v>17.600000000000001</v>
      </c>
      <c r="W49" s="1262">
        <v>1.34</v>
      </c>
      <c r="X49" s="1283">
        <v>88.92</v>
      </c>
      <c r="Y49" s="1272">
        <v>474.70063694267509</v>
      </c>
      <c r="Z49" s="1255" t="s">
        <v>1058</v>
      </c>
      <c r="AA49" s="1277">
        <v>4.3936000000000002</v>
      </c>
      <c r="AB49" s="1261">
        <v>5.8</v>
      </c>
      <c r="AC49" s="1294">
        <v>1.6919671094244153</v>
      </c>
      <c r="AD49" s="1271" t="s">
        <v>1058</v>
      </c>
      <c r="AE49" s="1271" t="s">
        <v>1058</v>
      </c>
      <c r="AF49" s="1254">
        <v>281.46911702301287</v>
      </c>
      <c r="AG49" s="1282">
        <v>77.027000000000001</v>
      </c>
      <c r="AH49" s="1267">
        <v>4</v>
      </c>
      <c r="AI49" s="1267">
        <v>2</v>
      </c>
      <c r="AJ49" s="1267">
        <v>2</v>
      </c>
      <c r="AK49" s="1267">
        <v>1</v>
      </c>
      <c r="AL49" s="1267">
        <v>1</v>
      </c>
      <c r="AM49" s="1267">
        <v>2</v>
      </c>
      <c r="AN49" s="1267">
        <v>3</v>
      </c>
      <c r="AO49" s="1267">
        <v>2</v>
      </c>
      <c r="AP49" s="1267">
        <v>109</v>
      </c>
      <c r="AQ49" s="1267"/>
      <c r="AR49" s="1267">
        <v>2</v>
      </c>
      <c r="AS49" s="1267">
        <v>5</v>
      </c>
      <c r="AT49" s="1267">
        <v>2</v>
      </c>
      <c r="AU49" s="1267"/>
      <c r="AV49" s="1133">
        <f t="shared" si="84"/>
        <v>3.81</v>
      </c>
      <c r="AW49" s="1134">
        <f t="shared" si="85"/>
        <v>1.25</v>
      </c>
      <c r="AX49" s="1134">
        <f t="shared" si="86"/>
        <v>0.15</v>
      </c>
      <c r="AY49" s="1135">
        <f t="shared" si="87"/>
        <v>1.34</v>
      </c>
      <c r="AZ49" s="1136">
        <f t="shared" si="88"/>
        <v>0.96847651749712649</v>
      </c>
      <c r="BA49" s="1137">
        <f t="shared" si="89"/>
        <v>0.89993809999999996</v>
      </c>
      <c r="BB49" s="956">
        <f t="shared" si="90"/>
        <v>1.06</v>
      </c>
      <c r="BC49" s="1138">
        <f t="shared" si="91"/>
        <v>1.1000000000000001</v>
      </c>
      <c r="BD49" s="1139">
        <f t="shared" si="92"/>
        <v>88.92</v>
      </c>
      <c r="BE49" s="1138">
        <f t="shared" si="93"/>
        <v>0.59068103612748668</v>
      </c>
      <c r="BF49" s="1140">
        <f t="shared" si="94"/>
        <v>1</v>
      </c>
      <c r="BG49" s="1137">
        <f t="shared" si="95"/>
        <v>0.03</v>
      </c>
      <c r="BH49" s="956">
        <f t="shared" si="96"/>
        <v>1.35</v>
      </c>
      <c r="BI49" s="956">
        <f t="shared" si="97"/>
        <v>1.08</v>
      </c>
      <c r="BJ49" s="956">
        <f t="shared" si="98"/>
        <v>0</v>
      </c>
      <c r="BK49" s="956">
        <f t="shared" si="99"/>
        <v>1.08</v>
      </c>
      <c r="BL49" s="956">
        <f t="shared" si="100"/>
        <v>0</v>
      </c>
      <c r="BM49" s="1141">
        <f t="shared" si="101"/>
        <v>474.70063694267509</v>
      </c>
      <c r="BN49" s="1142">
        <f t="shared" si="102"/>
        <v>0.99999996085523501</v>
      </c>
      <c r="BO49" s="1143">
        <f t="shared" si="103"/>
        <v>0.43227500000000002</v>
      </c>
      <c r="BP49" s="1144">
        <f t="shared" si="104"/>
        <v>1</v>
      </c>
      <c r="BQ49" s="1134">
        <f t="shared" si="105"/>
        <v>0.9</v>
      </c>
      <c r="BR49" s="1145" t="str">
        <f t="shared" si="106"/>
        <v>.</v>
      </c>
      <c r="BS49" s="1146" t="e">
        <f t="shared" si="107"/>
        <v>#VALUE!</v>
      </c>
      <c r="BT49" s="1147">
        <f>VLOOKUP(AP49,'CROP FACTORS'!$C$5:$N$130,7,FALSE)</f>
        <v>5.5</v>
      </c>
      <c r="BU49" s="1148">
        <f>VLOOKUP(AP49,'CROP FACTORS'!$C$5:$P$130,8,FALSE)</f>
        <v>1</v>
      </c>
      <c r="BV49" s="1149">
        <f t="shared" si="108"/>
        <v>4.3936000000000002</v>
      </c>
      <c r="BW49" s="1150">
        <f t="shared" si="109"/>
        <v>0.54223245810320009</v>
      </c>
      <c r="BX49" s="1137">
        <f>VLOOKUP(AP49,'CROP FACTORS'!$C$5:$N$130,10,FALSE)</f>
        <v>13</v>
      </c>
      <c r="BY49" s="1138">
        <f t="shared" si="110"/>
        <v>88.484687800000074</v>
      </c>
      <c r="BZ49" s="956">
        <f t="shared" si="111"/>
        <v>0.01</v>
      </c>
      <c r="CA49" s="956">
        <f t="shared" si="112"/>
        <v>0.99</v>
      </c>
      <c r="CB49" s="1148">
        <f t="shared" si="113"/>
        <v>89.658525668354869</v>
      </c>
      <c r="CC49" s="1148">
        <f t="shared" si="114"/>
        <v>88.475839331220072</v>
      </c>
      <c r="CD49" s="956">
        <f t="shared" si="115"/>
        <v>140</v>
      </c>
      <c r="CE49" s="956">
        <f t="shared" si="116"/>
        <v>90000</v>
      </c>
      <c r="CF49" s="956">
        <f t="shared" si="117"/>
        <v>1</v>
      </c>
      <c r="CG49" s="956">
        <f t="shared" si="118"/>
        <v>0.02</v>
      </c>
      <c r="CH49" s="956">
        <f t="shared" si="119"/>
        <v>91206</v>
      </c>
      <c r="CI49" s="956">
        <f t="shared" si="120"/>
        <v>91800</v>
      </c>
      <c r="CJ49" s="1138">
        <f t="shared" si="121"/>
        <v>1.25</v>
      </c>
      <c r="CK49" s="1138">
        <f t="shared" si="122"/>
        <v>2.1</v>
      </c>
      <c r="CL49" s="1138">
        <f t="shared" si="123"/>
        <v>1.25</v>
      </c>
      <c r="CM49" s="1138">
        <f t="shared" si="124"/>
        <v>1.25</v>
      </c>
      <c r="CN49" s="1151">
        <f t="shared" si="125"/>
        <v>5.8</v>
      </c>
      <c r="CO49" s="1138">
        <f t="shared" si="126"/>
        <v>0.82719367263189592</v>
      </c>
      <c r="CP49" s="1138">
        <f t="shared" si="127"/>
        <v>0.82908355642363563</v>
      </c>
      <c r="CQ49" s="1152">
        <f t="shared" si="128"/>
        <v>0.82719367263189592</v>
      </c>
      <c r="CR49" s="1153">
        <f t="shared" si="129"/>
        <v>0.82908355642363563</v>
      </c>
      <c r="CS49" s="1137">
        <f t="shared" si="130"/>
        <v>0.79400000000000004</v>
      </c>
      <c r="CT49" s="956">
        <f t="shared" si="131"/>
        <v>88.025000000000006</v>
      </c>
      <c r="CU49" s="956">
        <f t="shared" si="132"/>
        <v>-12.061</v>
      </c>
      <c r="CV49" s="956">
        <f t="shared" si="133"/>
        <v>0</v>
      </c>
      <c r="CW49" s="956">
        <f t="shared" si="134"/>
        <v>9.3587152000000007</v>
      </c>
      <c r="CX49" s="956">
        <f t="shared" si="135"/>
        <v>-10.275524000000001</v>
      </c>
      <c r="CY49" s="1154">
        <f t="shared" si="136"/>
        <v>1.6919671094244153</v>
      </c>
      <c r="CZ49" s="1155">
        <f t="shared" si="137"/>
        <v>0.31391887334204638</v>
      </c>
      <c r="DA49" s="1137" t="e">
        <f>MIN(VLOOKUP(AP49,'CROP FACTORS'!$C$5:$N$130,2,FALSE),VLOOKUP(AQ49,'CROP FACTORS'!$C$5:$N$130,2,FALSE))</f>
        <v>#N/A</v>
      </c>
      <c r="DB49" s="956" t="e">
        <f>MIN(VLOOKUP(AP49,'CROP FACTORS'!$C$5:$N$130,4,FALSE),VLOOKUP(AQ49,'CROP FACTORS'!$C$5:$N$130,4,FALSE))</f>
        <v>#N/A</v>
      </c>
      <c r="DC49" s="1156" t="e">
        <f t="shared" si="138"/>
        <v>#N/A</v>
      </c>
      <c r="DD49" s="1138">
        <f t="shared" si="139"/>
        <v>1.07</v>
      </c>
      <c r="DE49" s="1157" t="str">
        <f t="shared" si="140"/>
        <v>.</v>
      </c>
      <c r="DF49" s="1138" t="e">
        <f t="shared" si="141"/>
        <v>#N/A</v>
      </c>
      <c r="DG49" s="1158" t="e">
        <f t="shared" si="142"/>
        <v>#N/A</v>
      </c>
      <c r="DH49" s="1159" t="str">
        <f t="shared" si="143"/>
        <v>.</v>
      </c>
      <c r="DI49" s="1153" t="e">
        <f t="shared" si="144"/>
        <v>#VALUE!</v>
      </c>
      <c r="DJ49" s="1133">
        <f t="shared" si="145"/>
        <v>5.8</v>
      </c>
      <c r="DK49" s="1160">
        <f t="shared" si="146"/>
        <v>2.9</v>
      </c>
      <c r="DL49" s="1134">
        <f t="shared" si="147"/>
        <v>2.1</v>
      </c>
      <c r="DM49" s="1161">
        <f t="shared" si="148"/>
        <v>281.46911702301287</v>
      </c>
      <c r="DN49" s="1144">
        <f t="shared" si="149"/>
        <v>52.142000000000003</v>
      </c>
      <c r="DO49" s="1162">
        <f t="shared" si="150"/>
        <v>1.0099793321874806</v>
      </c>
      <c r="DP49" s="1163">
        <f t="shared" si="151"/>
        <v>1</v>
      </c>
      <c r="DQ49" s="1133">
        <f t="shared" si="152"/>
        <v>1.0541</v>
      </c>
      <c r="DR49" s="1134">
        <f t="shared" si="153"/>
        <v>-9.8099999999999993E-3</v>
      </c>
      <c r="DS49" s="1164">
        <f t="shared" si="154"/>
        <v>77.027000000000001</v>
      </c>
      <c r="DT49" s="1146">
        <f t="shared" si="155"/>
        <v>0.55897625003107099</v>
      </c>
      <c r="DU49" s="1165">
        <f t="shared" si="156"/>
        <v>0.96847651749712649</v>
      </c>
      <c r="DV49" s="1166">
        <f t="shared" si="157"/>
        <v>1</v>
      </c>
      <c r="DW49" s="1166">
        <f t="shared" si="158"/>
        <v>0.99999996085523501</v>
      </c>
      <c r="DX49" s="1166"/>
      <c r="DY49" s="1166">
        <f t="shared" si="159"/>
        <v>0.54223245810320009</v>
      </c>
      <c r="DZ49" s="1166">
        <f t="shared" si="160"/>
        <v>0.82719367263189592</v>
      </c>
      <c r="EA49" s="1138"/>
      <c r="EB49" s="1166">
        <f t="shared" si="161"/>
        <v>0.31391887334204638</v>
      </c>
      <c r="EC49" s="1166"/>
      <c r="ED49" s="1138"/>
      <c r="EE49" s="1166">
        <f t="shared" si="162"/>
        <v>1</v>
      </c>
      <c r="EF49" s="1140">
        <f t="shared" si="163"/>
        <v>0.55897625003107099</v>
      </c>
      <c r="EG49" s="1159">
        <f t="shared" si="164"/>
        <v>6.2107977324605752</v>
      </c>
      <c r="EH49" s="1167">
        <f t="shared" si="165"/>
        <v>8</v>
      </c>
      <c r="EI49" s="1150">
        <f t="shared" si="166"/>
        <v>0.7763497165575719</v>
      </c>
      <c r="EJ49" s="1168">
        <f t="shared" si="167"/>
        <v>1.3139188733420464</v>
      </c>
      <c r="EK49" s="1169">
        <f t="shared" si="168"/>
        <v>2</v>
      </c>
      <c r="EL49" s="1170">
        <f t="shared" si="169"/>
        <v>0.65695943667102319</v>
      </c>
      <c r="EM49" s="1159">
        <f t="shared" si="170"/>
        <v>0.54223245810320009</v>
      </c>
      <c r="EN49" s="1167">
        <f t="shared" si="171"/>
        <v>1</v>
      </c>
      <c r="EO49" s="1171">
        <f t="shared" si="172"/>
        <v>0.54223245810320009</v>
      </c>
      <c r="EP49" s="1168">
        <f t="shared" si="173"/>
        <v>2.9684764783523616</v>
      </c>
      <c r="EQ49" s="1169">
        <f t="shared" si="174"/>
        <v>3</v>
      </c>
      <c r="ER49" s="1146">
        <f t="shared" si="175"/>
        <v>0.98949215945078717</v>
      </c>
      <c r="ES49" s="1159">
        <f t="shared" si="176"/>
        <v>1.3861699226629669</v>
      </c>
      <c r="ET49" s="1167">
        <f t="shared" si="177"/>
        <v>2</v>
      </c>
      <c r="EU49" s="1155">
        <f t="shared" si="178"/>
        <v>0.69308496133148345</v>
      </c>
      <c r="EV49" s="1159">
        <f t="shared" si="179"/>
        <v>1.928402380766167</v>
      </c>
      <c r="EW49" s="1167">
        <f t="shared" si="180"/>
        <v>3</v>
      </c>
      <c r="EX49" s="1155">
        <f t="shared" si="181"/>
        <v>0.64280079358872233</v>
      </c>
    </row>
    <row r="50" spans="2:154">
      <c r="B50" s="1233" t="s">
        <v>1272</v>
      </c>
      <c r="C50" s="1219">
        <v>4</v>
      </c>
      <c r="D50" s="1226" t="s">
        <v>1267</v>
      </c>
      <c r="E50" s="1226" t="s">
        <v>1268</v>
      </c>
      <c r="F50" s="1227" t="s">
        <v>1273</v>
      </c>
      <c r="V50" s="1278">
        <v>17.600000000000001</v>
      </c>
      <c r="W50" s="1262">
        <v>1.46</v>
      </c>
      <c r="X50" s="1283">
        <v>84.833333333333343</v>
      </c>
      <c r="Y50" s="1272">
        <v>637.38229197512601</v>
      </c>
      <c r="Z50" s="1255" t="s">
        <v>1058</v>
      </c>
      <c r="AA50" s="1277">
        <v>4.7624000000000004</v>
      </c>
      <c r="AB50" s="1261">
        <v>7.4</v>
      </c>
      <c r="AC50" s="1294">
        <v>1.4150678192423922</v>
      </c>
      <c r="AD50" s="1271" t="s">
        <v>1058</v>
      </c>
      <c r="AE50" s="1271" t="s">
        <v>1058</v>
      </c>
      <c r="AF50" s="1254">
        <v>295.10235121810337</v>
      </c>
      <c r="AG50" s="1282">
        <v>209.96700000000001</v>
      </c>
      <c r="AH50" s="1267">
        <v>4</v>
      </c>
      <c r="AI50" s="1267">
        <v>2</v>
      </c>
      <c r="AJ50" s="1267">
        <v>2</v>
      </c>
      <c r="AK50" s="1267">
        <v>1</v>
      </c>
      <c r="AL50" s="1267">
        <v>1</v>
      </c>
      <c r="AM50" s="1267">
        <v>2</v>
      </c>
      <c r="AN50" s="1267">
        <v>3</v>
      </c>
      <c r="AO50" s="1267">
        <v>2</v>
      </c>
      <c r="AP50" s="1267">
        <v>109</v>
      </c>
      <c r="AQ50" s="1267"/>
      <c r="AR50" s="1267">
        <v>2</v>
      </c>
      <c r="AS50" s="1267">
        <v>5</v>
      </c>
      <c r="AT50" s="1267">
        <v>2</v>
      </c>
      <c r="AU50" s="1267"/>
      <c r="AV50" s="1133">
        <f t="shared" si="84"/>
        <v>3.81</v>
      </c>
      <c r="AW50" s="1134">
        <f t="shared" si="85"/>
        <v>1.25</v>
      </c>
      <c r="AX50" s="1134">
        <f t="shared" si="86"/>
        <v>0.15</v>
      </c>
      <c r="AY50" s="1135">
        <f t="shared" si="87"/>
        <v>1.46</v>
      </c>
      <c r="AZ50" s="1136">
        <f t="shared" si="88"/>
        <v>0.98340984455839064</v>
      </c>
      <c r="BA50" s="1137">
        <f t="shared" si="89"/>
        <v>0.89993809999999996</v>
      </c>
      <c r="BB50" s="956">
        <f t="shared" si="90"/>
        <v>1.06</v>
      </c>
      <c r="BC50" s="1138">
        <f t="shared" si="91"/>
        <v>1.1000000000000001</v>
      </c>
      <c r="BD50" s="1139">
        <f t="shared" si="92"/>
        <v>84.833333333333343</v>
      </c>
      <c r="BE50" s="1138">
        <f t="shared" si="93"/>
        <v>0.6782738697406504</v>
      </c>
      <c r="BF50" s="1140">
        <f t="shared" si="94"/>
        <v>1</v>
      </c>
      <c r="BG50" s="1137">
        <f t="shared" si="95"/>
        <v>0.03</v>
      </c>
      <c r="BH50" s="956">
        <f t="shared" si="96"/>
        <v>1.35</v>
      </c>
      <c r="BI50" s="956">
        <f t="shared" si="97"/>
        <v>1.08</v>
      </c>
      <c r="BJ50" s="956">
        <f t="shared" si="98"/>
        <v>0</v>
      </c>
      <c r="BK50" s="956">
        <f t="shared" si="99"/>
        <v>1.08</v>
      </c>
      <c r="BL50" s="956">
        <f t="shared" si="100"/>
        <v>0</v>
      </c>
      <c r="BM50" s="1141">
        <f t="shared" si="101"/>
        <v>637.38229197512601</v>
      </c>
      <c r="BN50" s="1142">
        <f t="shared" si="102"/>
        <v>0.99999999996820454</v>
      </c>
      <c r="BO50" s="1143">
        <f t="shared" si="103"/>
        <v>0.43227500000000002</v>
      </c>
      <c r="BP50" s="1144">
        <f t="shared" si="104"/>
        <v>1</v>
      </c>
      <c r="BQ50" s="1134">
        <f t="shared" si="105"/>
        <v>0.9</v>
      </c>
      <c r="BR50" s="1145" t="str">
        <f t="shared" si="106"/>
        <v>.</v>
      </c>
      <c r="BS50" s="1146" t="e">
        <f t="shared" si="107"/>
        <v>#VALUE!</v>
      </c>
      <c r="BT50" s="1147">
        <f>VLOOKUP(AP50,'CROP FACTORS'!$C$5:$N$130,7,FALSE)</f>
        <v>5.5</v>
      </c>
      <c r="BU50" s="1148">
        <f>VLOOKUP(AP50,'CROP FACTORS'!$C$5:$P$130,8,FALSE)</f>
        <v>1</v>
      </c>
      <c r="BV50" s="1149">
        <f t="shared" si="108"/>
        <v>4.7624000000000004</v>
      </c>
      <c r="BW50" s="1150">
        <f t="shared" si="109"/>
        <v>0.76183378272253022</v>
      </c>
      <c r="BX50" s="1137">
        <f>VLOOKUP(AP50,'CROP FACTORS'!$C$5:$N$130,10,FALSE)</f>
        <v>13</v>
      </c>
      <c r="BY50" s="1138">
        <f t="shared" si="110"/>
        <v>88.484687800000074</v>
      </c>
      <c r="BZ50" s="956">
        <f t="shared" si="111"/>
        <v>0.01</v>
      </c>
      <c r="CA50" s="956">
        <f t="shared" si="112"/>
        <v>0.99</v>
      </c>
      <c r="CB50" s="1148">
        <f t="shared" si="113"/>
        <v>89.763645477461282</v>
      </c>
      <c r="CC50" s="1148">
        <f t="shared" si="114"/>
        <v>88.475839331220072</v>
      </c>
      <c r="CD50" s="956">
        <f t="shared" si="115"/>
        <v>140</v>
      </c>
      <c r="CE50" s="956">
        <f t="shared" si="116"/>
        <v>90000</v>
      </c>
      <c r="CF50" s="956">
        <f t="shared" si="117"/>
        <v>1</v>
      </c>
      <c r="CG50" s="956">
        <f t="shared" si="118"/>
        <v>0.02</v>
      </c>
      <c r="CH50" s="956">
        <f t="shared" si="119"/>
        <v>91314</v>
      </c>
      <c r="CI50" s="956">
        <f t="shared" si="120"/>
        <v>91800</v>
      </c>
      <c r="CJ50" s="1138">
        <f t="shared" si="121"/>
        <v>1.25</v>
      </c>
      <c r="CK50" s="1138">
        <f t="shared" si="122"/>
        <v>2.1</v>
      </c>
      <c r="CL50" s="1138">
        <f t="shared" si="123"/>
        <v>1.25</v>
      </c>
      <c r="CM50" s="1138">
        <f t="shared" si="124"/>
        <v>1.25</v>
      </c>
      <c r="CN50" s="1151">
        <f t="shared" si="125"/>
        <v>7.4</v>
      </c>
      <c r="CO50" s="1138">
        <f t="shared" si="126"/>
        <v>0.90971649081140238</v>
      </c>
      <c r="CP50" s="1138">
        <f t="shared" si="127"/>
        <v>0.91089634138380715</v>
      </c>
      <c r="CQ50" s="1152">
        <f t="shared" si="128"/>
        <v>0.90971649081140238</v>
      </c>
      <c r="CR50" s="1153">
        <f t="shared" si="129"/>
        <v>0.91089634138380715</v>
      </c>
      <c r="CS50" s="1137">
        <f t="shared" si="130"/>
        <v>0.79400000000000004</v>
      </c>
      <c r="CT50" s="956">
        <f t="shared" si="131"/>
        <v>88.025000000000006</v>
      </c>
      <c r="CU50" s="956">
        <f t="shared" si="132"/>
        <v>-12.061</v>
      </c>
      <c r="CV50" s="956">
        <f t="shared" si="133"/>
        <v>0</v>
      </c>
      <c r="CW50" s="956">
        <f t="shared" si="134"/>
        <v>9.3587152000000007</v>
      </c>
      <c r="CX50" s="956">
        <f t="shared" si="135"/>
        <v>-10.275524000000001</v>
      </c>
      <c r="CY50" s="1154">
        <f t="shared" si="136"/>
        <v>1.4150678192423922</v>
      </c>
      <c r="CZ50" s="1155">
        <f t="shared" si="137"/>
        <v>0.78543788918093305</v>
      </c>
      <c r="DA50" s="1137" t="e">
        <f>MIN(VLOOKUP(AP50,'CROP FACTORS'!$C$5:$N$130,2,FALSE),VLOOKUP(AQ50,'CROP FACTORS'!$C$5:$N$130,2,FALSE))</f>
        <v>#N/A</v>
      </c>
      <c r="DB50" s="956" t="e">
        <f>MIN(VLOOKUP(AP50,'CROP FACTORS'!$C$5:$N$130,4,FALSE),VLOOKUP(AQ50,'CROP FACTORS'!$C$5:$N$130,4,FALSE))</f>
        <v>#N/A</v>
      </c>
      <c r="DC50" s="1156" t="e">
        <f t="shared" si="138"/>
        <v>#N/A</v>
      </c>
      <c r="DD50" s="1138">
        <f t="shared" si="139"/>
        <v>1.07</v>
      </c>
      <c r="DE50" s="1157" t="str">
        <f t="shared" si="140"/>
        <v>.</v>
      </c>
      <c r="DF50" s="1138" t="e">
        <f t="shared" si="141"/>
        <v>#N/A</v>
      </c>
      <c r="DG50" s="1158" t="e">
        <f t="shared" si="142"/>
        <v>#N/A</v>
      </c>
      <c r="DH50" s="1159" t="str">
        <f t="shared" si="143"/>
        <v>.</v>
      </c>
      <c r="DI50" s="1153" t="e">
        <f t="shared" si="144"/>
        <v>#VALUE!</v>
      </c>
      <c r="DJ50" s="1133">
        <f t="shared" si="145"/>
        <v>5.8</v>
      </c>
      <c r="DK50" s="1160">
        <f t="shared" si="146"/>
        <v>2.9</v>
      </c>
      <c r="DL50" s="1134">
        <f t="shared" si="147"/>
        <v>2.1</v>
      </c>
      <c r="DM50" s="1161">
        <f t="shared" si="148"/>
        <v>295.10235121810337</v>
      </c>
      <c r="DN50" s="1144">
        <f t="shared" si="149"/>
        <v>52.142000000000003</v>
      </c>
      <c r="DO50" s="1162">
        <f t="shared" si="150"/>
        <v>1.0099898474606825</v>
      </c>
      <c r="DP50" s="1163">
        <f t="shared" si="151"/>
        <v>1</v>
      </c>
      <c r="DQ50" s="1133">
        <f t="shared" si="152"/>
        <v>1.0541</v>
      </c>
      <c r="DR50" s="1134">
        <f t="shared" si="153"/>
        <v>-9.8099999999999993E-3</v>
      </c>
      <c r="DS50" s="1164">
        <f t="shared" si="154"/>
        <v>209.96700000000001</v>
      </c>
      <c r="DT50" s="1146">
        <f t="shared" si="155"/>
        <v>0.9197207090180326</v>
      </c>
      <c r="DU50" s="1165">
        <f t="shared" si="156"/>
        <v>0.98340984455839064</v>
      </c>
      <c r="DV50" s="1166">
        <f t="shared" si="157"/>
        <v>1</v>
      </c>
      <c r="DW50" s="1166">
        <f t="shared" si="158"/>
        <v>0.99999999996820454</v>
      </c>
      <c r="DX50" s="1166"/>
      <c r="DY50" s="1166">
        <f t="shared" si="159"/>
        <v>0.76183378272253022</v>
      </c>
      <c r="DZ50" s="1166">
        <f t="shared" si="160"/>
        <v>0.90971649081140238</v>
      </c>
      <c r="EA50" s="1138"/>
      <c r="EB50" s="1166">
        <f t="shared" si="161"/>
        <v>0.78543788918093305</v>
      </c>
      <c r="EC50" s="1166"/>
      <c r="ED50" s="1138"/>
      <c r="EE50" s="1166">
        <f t="shared" si="162"/>
        <v>1</v>
      </c>
      <c r="EF50" s="1140">
        <f t="shared" si="163"/>
        <v>0.9197207090180326</v>
      </c>
      <c r="EG50" s="1159">
        <f t="shared" si="164"/>
        <v>7.3601187162594934</v>
      </c>
      <c r="EH50" s="1167">
        <f t="shared" si="165"/>
        <v>8</v>
      </c>
      <c r="EI50" s="1150">
        <f t="shared" si="166"/>
        <v>0.92001483953243668</v>
      </c>
      <c r="EJ50" s="1168">
        <f t="shared" si="167"/>
        <v>1.785437889180933</v>
      </c>
      <c r="EK50" s="1169">
        <f t="shared" si="168"/>
        <v>2</v>
      </c>
      <c r="EL50" s="1170">
        <f t="shared" si="169"/>
        <v>0.89271894459046652</v>
      </c>
      <c r="EM50" s="1159">
        <f t="shared" si="170"/>
        <v>0.76183378272253022</v>
      </c>
      <c r="EN50" s="1167">
        <f t="shared" si="171"/>
        <v>1</v>
      </c>
      <c r="EO50" s="1171">
        <f t="shared" si="172"/>
        <v>0.76183378272253022</v>
      </c>
      <c r="EP50" s="1168">
        <f t="shared" si="173"/>
        <v>2.9834098445265953</v>
      </c>
      <c r="EQ50" s="1169">
        <f t="shared" si="174"/>
        <v>3</v>
      </c>
      <c r="ER50" s="1146">
        <f t="shared" si="175"/>
        <v>0.9944699481755318</v>
      </c>
      <c r="ES50" s="1159">
        <f t="shared" si="176"/>
        <v>1.829437199829435</v>
      </c>
      <c r="ET50" s="1167">
        <f t="shared" si="177"/>
        <v>2</v>
      </c>
      <c r="EU50" s="1155">
        <f t="shared" si="178"/>
        <v>0.91471859991471749</v>
      </c>
      <c r="EV50" s="1159">
        <f t="shared" si="179"/>
        <v>2.5912709825519653</v>
      </c>
      <c r="EW50" s="1167">
        <f t="shared" si="180"/>
        <v>3</v>
      </c>
      <c r="EX50" s="1155">
        <f t="shared" si="181"/>
        <v>0.86375699418398844</v>
      </c>
    </row>
    <row r="51" spans="2:154">
      <c r="B51" s="1233" t="s">
        <v>1272</v>
      </c>
      <c r="C51" s="1219">
        <v>5</v>
      </c>
      <c r="D51" s="1226" t="s">
        <v>1267</v>
      </c>
      <c r="E51" s="1226" t="s">
        <v>1268</v>
      </c>
      <c r="F51" s="1227" t="s">
        <v>1273</v>
      </c>
      <c r="V51" s="1278">
        <v>20.2</v>
      </c>
      <c r="W51" s="1262">
        <v>1.24</v>
      </c>
      <c r="X51" s="1283">
        <v>88.62</v>
      </c>
      <c r="Y51" s="1272">
        <v>429.87736900780379</v>
      </c>
      <c r="Z51" s="1255" t="s">
        <v>1058</v>
      </c>
      <c r="AA51" s="1277">
        <v>4.4858000000000002</v>
      </c>
      <c r="AB51" s="1261">
        <v>5.6</v>
      </c>
      <c r="AC51" s="1294">
        <v>1.6549534987232648</v>
      </c>
      <c r="AD51" s="1271" t="s">
        <v>1058</v>
      </c>
      <c r="AE51" s="1271" t="s">
        <v>1058</v>
      </c>
      <c r="AF51" s="1254">
        <v>269.12335306364042</v>
      </c>
      <c r="AG51" s="1282">
        <v>143.49700000000001</v>
      </c>
      <c r="AH51" s="1267">
        <v>4</v>
      </c>
      <c r="AI51" s="1267">
        <v>2</v>
      </c>
      <c r="AJ51" s="1267">
        <v>2</v>
      </c>
      <c r="AK51" s="1267">
        <v>1</v>
      </c>
      <c r="AL51" s="1267">
        <v>1</v>
      </c>
      <c r="AM51" s="1267">
        <v>2</v>
      </c>
      <c r="AN51" s="1267">
        <v>3</v>
      </c>
      <c r="AO51" s="1267">
        <v>2</v>
      </c>
      <c r="AP51" s="1267">
        <v>109</v>
      </c>
      <c r="AQ51" s="1267"/>
      <c r="AR51" s="1267">
        <v>2</v>
      </c>
      <c r="AS51" s="1267">
        <v>5</v>
      </c>
      <c r="AT51" s="1267">
        <v>2</v>
      </c>
      <c r="AU51" s="1267"/>
      <c r="AV51" s="1133">
        <f t="shared" si="84"/>
        <v>3.81</v>
      </c>
      <c r="AW51" s="1134">
        <f t="shared" si="85"/>
        <v>1.25</v>
      </c>
      <c r="AX51" s="1134">
        <f t="shared" si="86"/>
        <v>0.15</v>
      </c>
      <c r="AY51" s="1135">
        <f t="shared" si="87"/>
        <v>1.24</v>
      </c>
      <c r="AZ51" s="1136">
        <f t="shared" si="88"/>
        <v>0.94671302047872863</v>
      </c>
      <c r="BA51" s="1137">
        <f t="shared" si="89"/>
        <v>0.89993809999999996</v>
      </c>
      <c r="BB51" s="956">
        <f t="shared" si="90"/>
        <v>1.06</v>
      </c>
      <c r="BC51" s="1138">
        <f t="shared" si="91"/>
        <v>1.1000000000000001</v>
      </c>
      <c r="BD51" s="1139">
        <f t="shared" si="92"/>
        <v>88.62</v>
      </c>
      <c r="BE51" s="1138">
        <f t="shared" si="93"/>
        <v>0.59742011839500575</v>
      </c>
      <c r="BF51" s="1140">
        <f t="shared" si="94"/>
        <v>1</v>
      </c>
      <c r="BG51" s="1137">
        <f t="shared" si="95"/>
        <v>0.03</v>
      </c>
      <c r="BH51" s="956">
        <f t="shared" si="96"/>
        <v>1.35</v>
      </c>
      <c r="BI51" s="956">
        <f t="shared" si="97"/>
        <v>1.08</v>
      </c>
      <c r="BJ51" s="956">
        <f t="shared" si="98"/>
        <v>0</v>
      </c>
      <c r="BK51" s="956">
        <f t="shared" si="99"/>
        <v>1.08</v>
      </c>
      <c r="BL51" s="956">
        <f t="shared" si="100"/>
        <v>0</v>
      </c>
      <c r="BM51" s="1141">
        <f t="shared" si="101"/>
        <v>429.87736900780379</v>
      </c>
      <c r="BN51" s="1142">
        <f t="shared" si="102"/>
        <v>0.99999972194020037</v>
      </c>
      <c r="BO51" s="1143">
        <f t="shared" si="103"/>
        <v>0.43227500000000002</v>
      </c>
      <c r="BP51" s="1144">
        <f t="shared" si="104"/>
        <v>1</v>
      </c>
      <c r="BQ51" s="1134">
        <f t="shared" si="105"/>
        <v>0.9</v>
      </c>
      <c r="BR51" s="1145" t="str">
        <f t="shared" si="106"/>
        <v>.</v>
      </c>
      <c r="BS51" s="1146" t="e">
        <f t="shared" si="107"/>
        <v>#VALUE!</v>
      </c>
      <c r="BT51" s="1147">
        <f>VLOOKUP(AP51,'CROP FACTORS'!$C$5:$N$130,7,FALSE)</f>
        <v>5.5</v>
      </c>
      <c r="BU51" s="1148">
        <f>VLOOKUP(AP51,'CROP FACTORS'!$C$5:$P$130,8,FALSE)</f>
        <v>1</v>
      </c>
      <c r="BV51" s="1149">
        <f t="shared" si="108"/>
        <v>4.4858000000000002</v>
      </c>
      <c r="BW51" s="1150">
        <f t="shared" si="109"/>
        <v>0.59791850116290723</v>
      </c>
      <c r="BX51" s="1137">
        <f>VLOOKUP(AP51,'CROP FACTORS'!$C$5:$N$130,10,FALSE)</f>
        <v>13</v>
      </c>
      <c r="BY51" s="1138">
        <f t="shared" si="110"/>
        <v>88.484687800000074</v>
      </c>
      <c r="BZ51" s="956">
        <f t="shared" si="111"/>
        <v>0.01</v>
      </c>
      <c r="CA51" s="956">
        <f t="shared" si="112"/>
        <v>0.99</v>
      </c>
      <c r="CB51" s="1148">
        <f t="shared" si="113"/>
        <v>89.570925827432873</v>
      </c>
      <c r="CC51" s="1148">
        <f t="shared" si="114"/>
        <v>88.475839331220072</v>
      </c>
      <c r="CD51" s="956">
        <f t="shared" si="115"/>
        <v>140</v>
      </c>
      <c r="CE51" s="956">
        <f t="shared" si="116"/>
        <v>90000</v>
      </c>
      <c r="CF51" s="956">
        <f t="shared" si="117"/>
        <v>1</v>
      </c>
      <c r="CG51" s="956">
        <f t="shared" si="118"/>
        <v>0.02</v>
      </c>
      <c r="CH51" s="956">
        <f t="shared" si="119"/>
        <v>91116</v>
      </c>
      <c r="CI51" s="956">
        <f t="shared" si="120"/>
        <v>91800</v>
      </c>
      <c r="CJ51" s="1138">
        <f t="shared" si="121"/>
        <v>1.25</v>
      </c>
      <c r="CK51" s="1138">
        <f t="shared" si="122"/>
        <v>2.1</v>
      </c>
      <c r="CL51" s="1138">
        <f t="shared" si="123"/>
        <v>1.25</v>
      </c>
      <c r="CM51" s="1138">
        <f t="shared" si="124"/>
        <v>1.25</v>
      </c>
      <c r="CN51" s="1151">
        <f t="shared" si="125"/>
        <v>5.6</v>
      </c>
      <c r="CO51" s="1138">
        <f t="shared" si="126"/>
        <v>0.81145093782949385</v>
      </c>
      <c r="CP51" s="1138">
        <f t="shared" si="127"/>
        <v>0.81332580007645761</v>
      </c>
      <c r="CQ51" s="1152">
        <f t="shared" si="128"/>
        <v>0.81145093782949385</v>
      </c>
      <c r="CR51" s="1153">
        <f t="shared" si="129"/>
        <v>0.81332580007645761</v>
      </c>
      <c r="CS51" s="1137">
        <f t="shared" si="130"/>
        <v>0.79400000000000004</v>
      </c>
      <c r="CT51" s="956">
        <f t="shared" si="131"/>
        <v>88.025000000000006</v>
      </c>
      <c r="CU51" s="956">
        <f t="shared" si="132"/>
        <v>-12.061</v>
      </c>
      <c r="CV51" s="956">
        <f t="shared" si="133"/>
        <v>0</v>
      </c>
      <c r="CW51" s="956">
        <f t="shared" si="134"/>
        <v>9.3587152000000007</v>
      </c>
      <c r="CX51" s="956">
        <f t="shared" si="135"/>
        <v>-10.275524000000001</v>
      </c>
      <c r="CY51" s="1154">
        <f t="shared" si="136"/>
        <v>1.6549534987232648</v>
      </c>
      <c r="CZ51" s="1155">
        <f t="shared" si="137"/>
        <v>0.34537128961018282</v>
      </c>
      <c r="DA51" s="1137" t="e">
        <f>MIN(VLOOKUP(AP51,'CROP FACTORS'!$C$5:$N$130,2,FALSE),VLOOKUP(AQ51,'CROP FACTORS'!$C$5:$N$130,2,FALSE))</f>
        <v>#N/A</v>
      </c>
      <c r="DB51" s="956" t="e">
        <f>MIN(VLOOKUP(AP51,'CROP FACTORS'!$C$5:$N$130,4,FALSE),VLOOKUP(AQ51,'CROP FACTORS'!$C$5:$N$130,4,FALSE))</f>
        <v>#N/A</v>
      </c>
      <c r="DC51" s="1156" t="e">
        <f t="shared" si="138"/>
        <v>#N/A</v>
      </c>
      <c r="DD51" s="1138">
        <f t="shared" si="139"/>
        <v>1.07</v>
      </c>
      <c r="DE51" s="1157" t="str">
        <f t="shared" si="140"/>
        <v>.</v>
      </c>
      <c r="DF51" s="1138" t="e">
        <f t="shared" si="141"/>
        <v>#N/A</v>
      </c>
      <c r="DG51" s="1158" t="e">
        <f t="shared" si="142"/>
        <v>#N/A</v>
      </c>
      <c r="DH51" s="1159" t="str">
        <f t="shared" si="143"/>
        <v>.</v>
      </c>
      <c r="DI51" s="1153" t="e">
        <f t="shared" si="144"/>
        <v>#VALUE!</v>
      </c>
      <c r="DJ51" s="1133">
        <f t="shared" si="145"/>
        <v>5.8</v>
      </c>
      <c r="DK51" s="1160">
        <f t="shared" si="146"/>
        <v>2.9</v>
      </c>
      <c r="DL51" s="1134">
        <f t="shared" si="147"/>
        <v>2.1</v>
      </c>
      <c r="DM51" s="1161">
        <f t="shared" si="148"/>
        <v>269.12335306364042</v>
      </c>
      <c r="DN51" s="1144">
        <f t="shared" si="149"/>
        <v>52.142000000000003</v>
      </c>
      <c r="DO51" s="1162">
        <f t="shared" si="150"/>
        <v>1.0099606580305538</v>
      </c>
      <c r="DP51" s="1163">
        <f t="shared" si="151"/>
        <v>1</v>
      </c>
      <c r="DQ51" s="1133">
        <f t="shared" si="152"/>
        <v>1.0541</v>
      </c>
      <c r="DR51" s="1134">
        <f t="shared" si="153"/>
        <v>-9.8099999999999993E-3</v>
      </c>
      <c r="DS51" s="1164">
        <f t="shared" si="154"/>
        <v>143.49700000000001</v>
      </c>
      <c r="DT51" s="1146">
        <f t="shared" si="155"/>
        <v>0.79615741245548932</v>
      </c>
      <c r="DU51" s="1165">
        <f t="shared" si="156"/>
        <v>0.94671302047872863</v>
      </c>
      <c r="DV51" s="1166">
        <f t="shared" si="157"/>
        <v>1</v>
      </c>
      <c r="DW51" s="1166">
        <f t="shared" si="158"/>
        <v>0.99999972194020037</v>
      </c>
      <c r="DX51" s="1166"/>
      <c r="DY51" s="1166">
        <f t="shared" si="159"/>
        <v>0.59791850116290723</v>
      </c>
      <c r="DZ51" s="1166">
        <f t="shared" si="160"/>
        <v>0.81145093782949385</v>
      </c>
      <c r="EA51" s="1138"/>
      <c r="EB51" s="1166">
        <f t="shared" si="161"/>
        <v>0.34537128961018282</v>
      </c>
      <c r="EC51" s="1166"/>
      <c r="ED51" s="1138"/>
      <c r="EE51" s="1166">
        <f t="shared" si="162"/>
        <v>1</v>
      </c>
      <c r="EF51" s="1140">
        <f t="shared" si="163"/>
        <v>0.79615741245548932</v>
      </c>
      <c r="EG51" s="1159">
        <f t="shared" si="164"/>
        <v>6.4976108834770017</v>
      </c>
      <c r="EH51" s="1167">
        <f t="shared" si="165"/>
        <v>8</v>
      </c>
      <c r="EI51" s="1150">
        <f t="shared" si="166"/>
        <v>0.81220136043462521</v>
      </c>
      <c r="EJ51" s="1168">
        <f t="shared" si="167"/>
        <v>1.3453712896101828</v>
      </c>
      <c r="EK51" s="1169">
        <f t="shared" si="168"/>
        <v>2</v>
      </c>
      <c r="EL51" s="1170">
        <f t="shared" si="169"/>
        <v>0.67268564480509141</v>
      </c>
      <c r="EM51" s="1159">
        <f t="shared" si="170"/>
        <v>0.59791850116290723</v>
      </c>
      <c r="EN51" s="1167">
        <f t="shared" si="171"/>
        <v>1</v>
      </c>
      <c r="EO51" s="1171">
        <f t="shared" si="172"/>
        <v>0.59791850116290723</v>
      </c>
      <c r="EP51" s="1168">
        <f t="shared" si="173"/>
        <v>2.9467127424189288</v>
      </c>
      <c r="EQ51" s="1169">
        <f t="shared" si="174"/>
        <v>3</v>
      </c>
      <c r="ER51" s="1146">
        <f t="shared" si="175"/>
        <v>0.98223758080630963</v>
      </c>
      <c r="ES51" s="1159">
        <f t="shared" si="176"/>
        <v>1.6076083502849832</v>
      </c>
      <c r="ET51" s="1167">
        <f t="shared" si="177"/>
        <v>2</v>
      </c>
      <c r="EU51" s="1155">
        <f t="shared" si="178"/>
        <v>0.80380417514249158</v>
      </c>
      <c r="EV51" s="1159">
        <f t="shared" si="179"/>
        <v>2.2055268514478903</v>
      </c>
      <c r="EW51" s="1167">
        <f t="shared" si="180"/>
        <v>3</v>
      </c>
      <c r="EX51" s="1155">
        <f t="shared" si="181"/>
        <v>0.7351756171492968</v>
      </c>
    </row>
    <row r="52" spans="2:154">
      <c r="B52" s="1233" t="s">
        <v>1272</v>
      </c>
      <c r="C52" s="1219">
        <v>6</v>
      </c>
      <c r="D52" s="1226" t="s">
        <v>1267</v>
      </c>
      <c r="E52" s="1226" t="s">
        <v>1268</v>
      </c>
      <c r="F52" s="1227" t="s">
        <v>1273</v>
      </c>
      <c r="V52" s="1278">
        <v>0</v>
      </c>
      <c r="W52" s="1262">
        <v>1.03</v>
      </c>
      <c r="X52" s="1283">
        <v>86.1</v>
      </c>
      <c r="Y52" s="1272">
        <v>400.39712918660263</v>
      </c>
      <c r="Z52" s="1255" t="s">
        <v>1058</v>
      </c>
      <c r="AA52" s="1277">
        <v>4.5434249999999992</v>
      </c>
      <c r="AB52" s="1282">
        <v>7.0750000000000002</v>
      </c>
      <c r="AC52" s="1294">
        <v>1.4910862791950712</v>
      </c>
      <c r="AD52" s="1271" t="s">
        <v>1058</v>
      </c>
      <c r="AE52" s="1271" t="s">
        <v>1058</v>
      </c>
      <c r="AF52" s="1254">
        <v>239.16360375050962</v>
      </c>
      <c r="AG52" s="1282">
        <v>163.193625</v>
      </c>
      <c r="AH52" s="1267">
        <v>4</v>
      </c>
      <c r="AI52" s="1267">
        <v>2</v>
      </c>
      <c r="AJ52" s="1267">
        <v>2</v>
      </c>
      <c r="AK52" s="1267">
        <v>1</v>
      </c>
      <c r="AL52" s="1267">
        <v>1</v>
      </c>
      <c r="AM52" s="1267">
        <v>2</v>
      </c>
      <c r="AN52" s="1267">
        <v>3</v>
      </c>
      <c r="AO52" s="1267">
        <v>2</v>
      </c>
      <c r="AP52" s="1267">
        <v>109</v>
      </c>
      <c r="AQ52" s="1267"/>
      <c r="AR52" s="1267">
        <v>2</v>
      </c>
      <c r="AS52" s="1267">
        <v>5</v>
      </c>
      <c r="AT52" s="1267">
        <v>2</v>
      </c>
      <c r="AU52" s="1267"/>
      <c r="AV52" s="1133">
        <f t="shared" si="84"/>
        <v>3.81</v>
      </c>
      <c r="AW52" s="1134">
        <f t="shared" si="85"/>
        <v>1.25</v>
      </c>
      <c r="AX52" s="1134">
        <f t="shared" si="86"/>
        <v>0.15</v>
      </c>
      <c r="AY52" s="1135">
        <f t="shared" si="87"/>
        <v>1.03</v>
      </c>
      <c r="AZ52" s="1136">
        <f t="shared" si="88"/>
        <v>0.84904882353564937</v>
      </c>
      <c r="BA52" s="1137">
        <f t="shared" si="89"/>
        <v>0.89993809999999996</v>
      </c>
      <c r="BB52" s="956">
        <f t="shared" si="90"/>
        <v>1.06</v>
      </c>
      <c r="BC52" s="1138">
        <f t="shared" si="91"/>
        <v>1.1000000000000001</v>
      </c>
      <c r="BD52" s="1139">
        <f t="shared" si="92"/>
        <v>86.1</v>
      </c>
      <c r="BE52" s="1138">
        <f t="shared" si="93"/>
        <v>0.65210822821855319</v>
      </c>
      <c r="BF52" s="1140">
        <f t="shared" si="94"/>
        <v>1</v>
      </c>
      <c r="BG52" s="1137">
        <f t="shared" si="95"/>
        <v>0.03</v>
      </c>
      <c r="BH52" s="956">
        <f t="shared" si="96"/>
        <v>1.35</v>
      </c>
      <c r="BI52" s="956">
        <f t="shared" si="97"/>
        <v>1.08</v>
      </c>
      <c r="BJ52" s="956">
        <f t="shared" si="98"/>
        <v>0</v>
      </c>
      <c r="BK52" s="956">
        <f t="shared" si="99"/>
        <v>1.08</v>
      </c>
      <c r="BL52" s="956">
        <f t="shared" si="100"/>
        <v>0</v>
      </c>
      <c r="BM52" s="1141">
        <f t="shared" si="101"/>
        <v>400.39712918660263</v>
      </c>
      <c r="BN52" s="1142">
        <f t="shared" si="102"/>
        <v>0.99999899040841644</v>
      </c>
      <c r="BO52" s="1143">
        <f t="shared" si="103"/>
        <v>0.43227500000000002</v>
      </c>
      <c r="BP52" s="1144">
        <f t="shared" si="104"/>
        <v>1</v>
      </c>
      <c r="BQ52" s="1134">
        <f t="shared" si="105"/>
        <v>0.9</v>
      </c>
      <c r="BR52" s="1145" t="str">
        <f t="shared" si="106"/>
        <v>.</v>
      </c>
      <c r="BS52" s="1146" t="e">
        <f t="shared" si="107"/>
        <v>#VALUE!</v>
      </c>
      <c r="BT52" s="1147">
        <f>VLOOKUP(AP52,'CROP FACTORS'!$C$5:$N$130,7,FALSE)</f>
        <v>5.5</v>
      </c>
      <c r="BU52" s="1148">
        <f>VLOOKUP(AP52,'CROP FACTORS'!$C$5:$P$130,8,FALSE)</f>
        <v>1</v>
      </c>
      <c r="BV52" s="1149">
        <f t="shared" si="108"/>
        <v>4.5434249999999992</v>
      </c>
      <c r="BW52" s="1150">
        <f t="shared" si="109"/>
        <v>0.63285252281800009</v>
      </c>
      <c r="BX52" s="1137">
        <f>VLOOKUP(AP52,'CROP FACTORS'!$C$5:$N$130,10,FALSE)</f>
        <v>13</v>
      </c>
      <c r="BY52" s="1138">
        <f t="shared" si="110"/>
        <v>88.484687800000074</v>
      </c>
      <c r="BZ52" s="956">
        <f t="shared" si="111"/>
        <v>0.01</v>
      </c>
      <c r="CA52" s="956">
        <f t="shared" si="112"/>
        <v>0.99</v>
      </c>
      <c r="CB52" s="1148">
        <f t="shared" si="113"/>
        <v>89.386966161496673</v>
      </c>
      <c r="CC52" s="1148">
        <f t="shared" si="114"/>
        <v>88.475839331220072</v>
      </c>
      <c r="CD52" s="956">
        <f t="shared" si="115"/>
        <v>140</v>
      </c>
      <c r="CE52" s="956">
        <f t="shared" si="116"/>
        <v>90000</v>
      </c>
      <c r="CF52" s="956">
        <f t="shared" si="117"/>
        <v>1</v>
      </c>
      <c r="CG52" s="956">
        <f t="shared" si="118"/>
        <v>0.02</v>
      </c>
      <c r="CH52" s="956">
        <f t="shared" si="119"/>
        <v>90927</v>
      </c>
      <c r="CI52" s="956">
        <f t="shared" si="120"/>
        <v>91800</v>
      </c>
      <c r="CJ52" s="1138">
        <f t="shared" si="121"/>
        <v>1.25</v>
      </c>
      <c r="CK52" s="1138">
        <f t="shared" si="122"/>
        <v>2.1</v>
      </c>
      <c r="CL52" s="1138">
        <f t="shared" si="123"/>
        <v>1.25</v>
      </c>
      <c r="CM52" s="1138">
        <f t="shared" si="124"/>
        <v>1.25</v>
      </c>
      <c r="CN52" s="1151">
        <f t="shared" si="125"/>
        <v>7.0750000000000002</v>
      </c>
      <c r="CO52" s="1138">
        <f t="shared" si="126"/>
        <v>0.89816052978738625</v>
      </c>
      <c r="CP52" s="1138">
        <f t="shared" si="127"/>
        <v>0.89909383854343217</v>
      </c>
      <c r="CQ52" s="1152">
        <f t="shared" si="128"/>
        <v>0.89816052978738625</v>
      </c>
      <c r="CR52" s="1153">
        <f t="shared" si="129"/>
        <v>0.89909383854343217</v>
      </c>
      <c r="CS52" s="1137">
        <f t="shared" si="130"/>
        <v>0.79400000000000004</v>
      </c>
      <c r="CT52" s="956">
        <f t="shared" si="131"/>
        <v>88.025000000000006</v>
      </c>
      <c r="CU52" s="956">
        <f t="shared" si="132"/>
        <v>-12.061</v>
      </c>
      <c r="CV52" s="956">
        <f t="shared" si="133"/>
        <v>0</v>
      </c>
      <c r="CW52" s="956">
        <f t="shared" si="134"/>
        <v>9.3587152000000007</v>
      </c>
      <c r="CX52" s="956">
        <f t="shared" si="135"/>
        <v>-10.275524000000001</v>
      </c>
      <c r="CY52" s="1154">
        <f t="shared" si="136"/>
        <v>1.4910862791950712</v>
      </c>
      <c r="CZ52" s="1155">
        <f t="shared" si="137"/>
        <v>0.6041009599418885</v>
      </c>
      <c r="DA52" s="1137" t="e">
        <f>MIN(VLOOKUP(AP52,'CROP FACTORS'!$C$5:$N$130,2,FALSE),VLOOKUP(AQ52,'CROP FACTORS'!$C$5:$N$130,2,FALSE))</f>
        <v>#N/A</v>
      </c>
      <c r="DB52" s="956" t="e">
        <f>MIN(VLOOKUP(AP52,'CROP FACTORS'!$C$5:$N$130,4,FALSE),VLOOKUP(AQ52,'CROP FACTORS'!$C$5:$N$130,4,FALSE))</f>
        <v>#N/A</v>
      </c>
      <c r="DC52" s="1156" t="e">
        <f t="shared" si="138"/>
        <v>#N/A</v>
      </c>
      <c r="DD52" s="1138">
        <f t="shared" si="139"/>
        <v>1.07</v>
      </c>
      <c r="DE52" s="1157" t="str">
        <f t="shared" si="140"/>
        <v>.</v>
      </c>
      <c r="DF52" s="1138" t="e">
        <f t="shared" si="141"/>
        <v>#N/A</v>
      </c>
      <c r="DG52" s="1158" t="e">
        <f t="shared" si="142"/>
        <v>#N/A</v>
      </c>
      <c r="DH52" s="1159" t="str">
        <f t="shared" si="143"/>
        <v>.</v>
      </c>
      <c r="DI52" s="1153" t="e">
        <f t="shared" si="144"/>
        <v>#VALUE!</v>
      </c>
      <c r="DJ52" s="1133">
        <f t="shared" si="145"/>
        <v>5.8</v>
      </c>
      <c r="DK52" s="1160">
        <f t="shared" si="146"/>
        <v>2.9</v>
      </c>
      <c r="DL52" s="1134">
        <f t="shared" si="147"/>
        <v>2.1</v>
      </c>
      <c r="DM52" s="1161">
        <f t="shared" si="148"/>
        <v>239.16360375050962</v>
      </c>
      <c r="DN52" s="1144">
        <f t="shared" si="149"/>
        <v>52.142000000000003</v>
      </c>
      <c r="DO52" s="1162">
        <f t="shared" si="150"/>
        <v>1.0098124010729856</v>
      </c>
      <c r="DP52" s="1163">
        <f t="shared" si="151"/>
        <v>1</v>
      </c>
      <c r="DQ52" s="1133">
        <f t="shared" si="152"/>
        <v>1.0541</v>
      </c>
      <c r="DR52" s="1134">
        <f t="shared" si="153"/>
        <v>-9.8099999999999993E-3</v>
      </c>
      <c r="DS52" s="1164">
        <f t="shared" si="154"/>
        <v>163.193625</v>
      </c>
      <c r="DT52" s="1146">
        <f t="shared" si="155"/>
        <v>0.84147859560822336</v>
      </c>
      <c r="DU52" s="1165">
        <f t="shared" si="156"/>
        <v>0.84904882353564937</v>
      </c>
      <c r="DV52" s="1166">
        <f t="shared" si="157"/>
        <v>1</v>
      </c>
      <c r="DW52" s="1166">
        <f t="shared" si="158"/>
        <v>0.99999899040841644</v>
      </c>
      <c r="DX52" s="1166"/>
      <c r="DY52" s="1166">
        <f t="shared" si="159"/>
        <v>0.63285252281800009</v>
      </c>
      <c r="DZ52" s="1166">
        <f t="shared" si="160"/>
        <v>0.89816052978738625</v>
      </c>
      <c r="EA52" s="1138"/>
      <c r="EB52" s="1166">
        <f t="shared" si="161"/>
        <v>0.6041009599418885</v>
      </c>
      <c r="EC52" s="1166"/>
      <c r="ED52" s="1138"/>
      <c r="EE52" s="1166">
        <f t="shared" si="162"/>
        <v>1</v>
      </c>
      <c r="EF52" s="1140">
        <f t="shared" si="163"/>
        <v>0.84147859560822336</v>
      </c>
      <c r="EG52" s="1159">
        <f t="shared" si="164"/>
        <v>6.8256404220995641</v>
      </c>
      <c r="EH52" s="1167">
        <f t="shared" si="165"/>
        <v>8</v>
      </c>
      <c r="EI52" s="1150">
        <f t="shared" si="166"/>
        <v>0.85320505276244551</v>
      </c>
      <c r="EJ52" s="1168">
        <f t="shared" si="167"/>
        <v>1.6041009599418885</v>
      </c>
      <c r="EK52" s="1169">
        <f t="shared" si="168"/>
        <v>2</v>
      </c>
      <c r="EL52" s="1170">
        <f t="shared" si="169"/>
        <v>0.80205047997094425</v>
      </c>
      <c r="EM52" s="1159">
        <f t="shared" si="170"/>
        <v>0.63285252281800009</v>
      </c>
      <c r="EN52" s="1167">
        <f t="shared" si="171"/>
        <v>1</v>
      </c>
      <c r="EO52" s="1171">
        <f t="shared" si="172"/>
        <v>0.63285252281800009</v>
      </c>
      <c r="EP52" s="1168">
        <f t="shared" si="173"/>
        <v>2.8490478139440656</v>
      </c>
      <c r="EQ52" s="1169">
        <f t="shared" si="174"/>
        <v>3</v>
      </c>
      <c r="ER52" s="1146">
        <f t="shared" si="175"/>
        <v>0.9496826046480219</v>
      </c>
      <c r="ES52" s="1159">
        <f t="shared" si="176"/>
        <v>1.7396391253956096</v>
      </c>
      <c r="ET52" s="1167">
        <f t="shared" si="177"/>
        <v>2</v>
      </c>
      <c r="EU52" s="1155">
        <f t="shared" si="178"/>
        <v>0.8698195626978048</v>
      </c>
      <c r="EV52" s="1159">
        <f t="shared" si="179"/>
        <v>2.3724916482136096</v>
      </c>
      <c r="EW52" s="1167">
        <f t="shared" si="180"/>
        <v>3</v>
      </c>
      <c r="EX52" s="1155">
        <f t="shared" si="181"/>
        <v>0.79083054940453656</v>
      </c>
    </row>
    <row r="53" spans="2:154">
      <c r="B53" s="1233" t="s">
        <v>1272</v>
      </c>
      <c r="C53" s="1219">
        <v>7</v>
      </c>
      <c r="D53" s="1226" t="s">
        <v>1267</v>
      </c>
      <c r="E53" s="1226" t="s">
        <v>1268</v>
      </c>
      <c r="F53" s="1227" t="s">
        <v>1273</v>
      </c>
      <c r="V53" s="1278">
        <v>17.7</v>
      </c>
      <c r="W53" s="1262">
        <v>1.3149999999999999</v>
      </c>
      <c r="X53" s="1283">
        <v>89.1</v>
      </c>
      <c r="Y53" s="1272">
        <v>298.21599602583194</v>
      </c>
      <c r="Z53" s="1255" t="s">
        <v>1058</v>
      </c>
      <c r="AA53" s="1277">
        <v>4.4858000000000002</v>
      </c>
      <c r="AB53" s="1261">
        <v>7.6</v>
      </c>
      <c r="AC53" s="1294">
        <v>1.2856373134678005</v>
      </c>
      <c r="AD53" s="1271" t="s">
        <v>1058</v>
      </c>
      <c r="AE53" s="1271" t="s">
        <v>1058</v>
      </c>
      <c r="AF53" s="1254">
        <v>249.12732794951111</v>
      </c>
      <c r="AG53" s="1282">
        <v>210.358</v>
      </c>
      <c r="AH53" s="1267">
        <v>4</v>
      </c>
      <c r="AI53" s="1267">
        <v>2</v>
      </c>
      <c r="AJ53" s="1267">
        <v>2</v>
      </c>
      <c r="AK53" s="1267">
        <v>1</v>
      </c>
      <c r="AL53" s="1267">
        <v>1</v>
      </c>
      <c r="AM53" s="1267">
        <v>2</v>
      </c>
      <c r="AN53" s="1267">
        <v>3</v>
      </c>
      <c r="AO53" s="1267">
        <v>2</v>
      </c>
      <c r="AP53" s="1267">
        <v>109</v>
      </c>
      <c r="AQ53" s="1267"/>
      <c r="AR53" s="1267">
        <v>2</v>
      </c>
      <c r="AS53" s="1267">
        <v>5</v>
      </c>
      <c r="AT53" s="1267">
        <v>2</v>
      </c>
      <c r="AU53" s="1267"/>
      <c r="AV53" s="1133">
        <f t="shared" si="84"/>
        <v>3.81</v>
      </c>
      <c r="AW53" s="1134">
        <f t="shared" si="85"/>
        <v>1.25</v>
      </c>
      <c r="AX53" s="1134">
        <f t="shared" si="86"/>
        <v>0.15</v>
      </c>
      <c r="AY53" s="1135">
        <f t="shared" si="87"/>
        <v>1.3149999999999999</v>
      </c>
      <c r="AZ53" s="1136">
        <f t="shared" si="88"/>
        <v>0.96401725295612006</v>
      </c>
      <c r="BA53" s="1137">
        <f t="shared" si="89"/>
        <v>0.89993809999999996</v>
      </c>
      <c r="BB53" s="956">
        <f t="shared" si="90"/>
        <v>1.06</v>
      </c>
      <c r="BC53" s="1138">
        <f t="shared" si="91"/>
        <v>1.1000000000000001</v>
      </c>
      <c r="BD53" s="1139">
        <f t="shared" si="92"/>
        <v>89.1</v>
      </c>
      <c r="BE53" s="1138">
        <f t="shared" si="93"/>
        <v>0.58661460868031978</v>
      </c>
      <c r="BF53" s="1140">
        <f t="shared" si="94"/>
        <v>1</v>
      </c>
      <c r="BG53" s="1137">
        <f t="shared" si="95"/>
        <v>0.03</v>
      </c>
      <c r="BH53" s="956">
        <f t="shared" si="96"/>
        <v>1.35</v>
      </c>
      <c r="BI53" s="956">
        <f t="shared" si="97"/>
        <v>1.08</v>
      </c>
      <c r="BJ53" s="956">
        <f t="shared" si="98"/>
        <v>0</v>
      </c>
      <c r="BK53" s="956">
        <f t="shared" si="99"/>
        <v>1.08</v>
      </c>
      <c r="BL53" s="956">
        <f t="shared" si="100"/>
        <v>0</v>
      </c>
      <c r="BM53" s="1141">
        <f t="shared" si="101"/>
        <v>298.21599602583194</v>
      </c>
      <c r="BN53" s="1142">
        <f t="shared" si="102"/>
        <v>0.99991186572424728</v>
      </c>
      <c r="BO53" s="1143">
        <f t="shared" si="103"/>
        <v>0.43227500000000002</v>
      </c>
      <c r="BP53" s="1144">
        <f t="shared" si="104"/>
        <v>1</v>
      </c>
      <c r="BQ53" s="1134">
        <f t="shared" si="105"/>
        <v>0.9</v>
      </c>
      <c r="BR53" s="1145" t="str">
        <f t="shared" si="106"/>
        <v>.</v>
      </c>
      <c r="BS53" s="1146" t="e">
        <f t="shared" si="107"/>
        <v>#VALUE!</v>
      </c>
      <c r="BT53" s="1147">
        <f>VLOOKUP(AP53,'CROP FACTORS'!$C$5:$N$130,7,FALSE)</f>
        <v>5.5</v>
      </c>
      <c r="BU53" s="1148">
        <f>VLOOKUP(AP53,'CROP FACTORS'!$C$5:$P$130,8,FALSE)</f>
        <v>1</v>
      </c>
      <c r="BV53" s="1149">
        <f t="shared" si="108"/>
        <v>4.4858000000000002</v>
      </c>
      <c r="BW53" s="1150">
        <f t="shared" si="109"/>
        <v>0.59791850116290723</v>
      </c>
      <c r="BX53" s="1137">
        <f>VLOOKUP(AP53,'CROP FACTORS'!$C$5:$N$130,10,FALSE)</f>
        <v>13</v>
      </c>
      <c r="BY53" s="1138">
        <f t="shared" si="110"/>
        <v>88.484687800000074</v>
      </c>
      <c r="BZ53" s="956">
        <f t="shared" si="111"/>
        <v>0.01</v>
      </c>
      <c r="CA53" s="956">
        <f t="shared" si="112"/>
        <v>0.99</v>
      </c>
      <c r="CB53" s="1148">
        <f t="shared" si="113"/>
        <v>89.63662570812437</v>
      </c>
      <c r="CC53" s="1148">
        <f t="shared" si="114"/>
        <v>88.475839331220072</v>
      </c>
      <c r="CD53" s="956">
        <f t="shared" si="115"/>
        <v>140</v>
      </c>
      <c r="CE53" s="956">
        <f t="shared" si="116"/>
        <v>90000</v>
      </c>
      <c r="CF53" s="956">
        <f t="shared" si="117"/>
        <v>1</v>
      </c>
      <c r="CG53" s="956">
        <f t="shared" si="118"/>
        <v>0.02</v>
      </c>
      <c r="CH53" s="956">
        <f t="shared" si="119"/>
        <v>91183.5</v>
      </c>
      <c r="CI53" s="956">
        <f t="shared" si="120"/>
        <v>91800</v>
      </c>
      <c r="CJ53" s="1138">
        <f t="shared" si="121"/>
        <v>1.25</v>
      </c>
      <c r="CK53" s="1138">
        <f t="shared" si="122"/>
        <v>2.1</v>
      </c>
      <c r="CL53" s="1138">
        <f t="shared" si="123"/>
        <v>1.25</v>
      </c>
      <c r="CM53" s="1138">
        <f t="shared" si="124"/>
        <v>1.25</v>
      </c>
      <c r="CN53" s="1151">
        <f t="shared" si="125"/>
        <v>7.6</v>
      </c>
      <c r="CO53" s="1138">
        <f t="shared" si="126"/>
        <v>0.91630722038329615</v>
      </c>
      <c r="CP53" s="1138">
        <f t="shared" si="127"/>
        <v>0.91730140374550351</v>
      </c>
      <c r="CQ53" s="1152">
        <f t="shared" si="128"/>
        <v>0.91630722038329615</v>
      </c>
      <c r="CR53" s="1153">
        <f t="shared" si="129"/>
        <v>0.91730140374550351</v>
      </c>
      <c r="CS53" s="1137">
        <f t="shared" si="130"/>
        <v>0.79400000000000004</v>
      </c>
      <c r="CT53" s="956">
        <f t="shared" si="131"/>
        <v>88.025000000000006</v>
      </c>
      <c r="CU53" s="956">
        <f t="shared" si="132"/>
        <v>-12.061</v>
      </c>
      <c r="CV53" s="956">
        <f t="shared" si="133"/>
        <v>0</v>
      </c>
      <c r="CW53" s="956">
        <f t="shared" si="134"/>
        <v>9.3587152000000007</v>
      </c>
      <c r="CX53" s="956">
        <f t="shared" si="135"/>
        <v>-10.275524000000001</v>
      </c>
      <c r="CY53" s="1154">
        <f t="shared" si="136"/>
        <v>1.2856373134678005</v>
      </c>
      <c r="CZ53" s="1155">
        <f t="shared" si="137"/>
        <v>0.98268962431370677</v>
      </c>
      <c r="DA53" s="1137" t="e">
        <f>MIN(VLOOKUP(AP53,'CROP FACTORS'!$C$5:$N$130,2,FALSE),VLOOKUP(AQ53,'CROP FACTORS'!$C$5:$N$130,2,FALSE))</f>
        <v>#N/A</v>
      </c>
      <c r="DB53" s="956" t="e">
        <f>MIN(VLOOKUP(AP53,'CROP FACTORS'!$C$5:$N$130,4,FALSE),VLOOKUP(AQ53,'CROP FACTORS'!$C$5:$N$130,4,FALSE))</f>
        <v>#N/A</v>
      </c>
      <c r="DC53" s="1156" t="e">
        <f t="shared" si="138"/>
        <v>#N/A</v>
      </c>
      <c r="DD53" s="1138">
        <f t="shared" si="139"/>
        <v>1.07</v>
      </c>
      <c r="DE53" s="1157" t="str">
        <f t="shared" si="140"/>
        <v>.</v>
      </c>
      <c r="DF53" s="1138" t="e">
        <f t="shared" si="141"/>
        <v>#N/A</v>
      </c>
      <c r="DG53" s="1158" t="e">
        <f t="shared" si="142"/>
        <v>#N/A</v>
      </c>
      <c r="DH53" s="1159" t="str">
        <f t="shared" si="143"/>
        <v>.</v>
      </c>
      <c r="DI53" s="1153" t="e">
        <f t="shared" si="144"/>
        <v>#VALUE!</v>
      </c>
      <c r="DJ53" s="1133">
        <f t="shared" si="145"/>
        <v>5.8</v>
      </c>
      <c r="DK53" s="1160">
        <f t="shared" si="146"/>
        <v>2.9</v>
      </c>
      <c r="DL53" s="1134">
        <f t="shared" si="147"/>
        <v>2.1</v>
      </c>
      <c r="DM53" s="1161">
        <f t="shared" si="148"/>
        <v>249.12732794951111</v>
      </c>
      <c r="DN53" s="1144">
        <f t="shared" si="149"/>
        <v>52.142000000000003</v>
      </c>
      <c r="DO53" s="1162">
        <f t="shared" si="150"/>
        <v>1.0098884075857515</v>
      </c>
      <c r="DP53" s="1163">
        <f t="shared" si="151"/>
        <v>1</v>
      </c>
      <c r="DQ53" s="1133">
        <f t="shared" si="152"/>
        <v>1.0541</v>
      </c>
      <c r="DR53" s="1134">
        <f t="shared" si="153"/>
        <v>-9.8099999999999993E-3</v>
      </c>
      <c r="DS53" s="1164">
        <f t="shared" si="154"/>
        <v>210.358</v>
      </c>
      <c r="DT53" s="1146">
        <f t="shared" si="155"/>
        <v>0.92023516173178799</v>
      </c>
      <c r="DU53" s="1165">
        <f t="shared" si="156"/>
        <v>0.96401725295612006</v>
      </c>
      <c r="DV53" s="1166">
        <f t="shared" si="157"/>
        <v>1</v>
      </c>
      <c r="DW53" s="1166">
        <f t="shared" si="158"/>
        <v>0.99991186572424728</v>
      </c>
      <c r="DX53" s="1166"/>
      <c r="DY53" s="1166">
        <f t="shared" si="159"/>
        <v>0.59791850116290723</v>
      </c>
      <c r="DZ53" s="1166">
        <f t="shared" si="160"/>
        <v>0.91630722038329615</v>
      </c>
      <c r="EA53" s="1138"/>
      <c r="EB53" s="1166">
        <f t="shared" si="161"/>
        <v>0.98268962431370677</v>
      </c>
      <c r="EC53" s="1166"/>
      <c r="ED53" s="1138"/>
      <c r="EE53" s="1166">
        <f t="shared" si="162"/>
        <v>1</v>
      </c>
      <c r="EF53" s="1140">
        <f t="shared" si="163"/>
        <v>0.92023516173178799</v>
      </c>
      <c r="EG53" s="1159">
        <f t="shared" si="164"/>
        <v>7.3810796262720659</v>
      </c>
      <c r="EH53" s="1167">
        <f t="shared" si="165"/>
        <v>8</v>
      </c>
      <c r="EI53" s="1150">
        <f t="shared" si="166"/>
        <v>0.92263495328400824</v>
      </c>
      <c r="EJ53" s="1168">
        <f t="shared" si="167"/>
        <v>1.9826896243137067</v>
      </c>
      <c r="EK53" s="1169">
        <f t="shared" si="168"/>
        <v>2</v>
      </c>
      <c r="EL53" s="1170">
        <f t="shared" si="169"/>
        <v>0.99134481215685333</v>
      </c>
      <c r="EM53" s="1159">
        <f t="shared" si="170"/>
        <v>0.59791850116290723</v>
      </c>
      <c r="EN53" s="1167">
        <f t="shared" si="171"/>
        <v>1</v>
      </c>
      <c r="EO53" s="1171">
        <f t="shared" si="172"/>
        <v>0.59791850116290723</v>
      </c>
      <c r="EP53" s="1168">
        <f t="shared" si="173"/>
        <v>2.9639291186803671</v>
      </c>
      <c r="EQ53" s="1169">
        <f t="shared" si="174"/>
        <v>3</v>
      </c>
      <c r="ER53" s="1146">
        <f t="shared" si="175"/>
        <v>0.98797637289345575</v>
      </c>
      <c r="ES53" s="1159">
        <f t="shared" si="176"/>
        <v>1.8365423821150841</v>
      </c>
      <c r="ET53" s="1167">
        <f t="shared" si="177"/>
        <v>2</v>
      </c>
      <c r="EU53" s="1155">
        <f t="shared" si="178"/>
        <v>0.91827119105754207</v>
      </c>
      <c r="EV53" s="1159">
        <f t="shared" si="179"/>
        <v>2.4344608832779913</v>
      </c>
      <c r="EW53" s="1167">
        <f t="shared" si="180"/>
        <v>3</v>
      </c>
      <c r="EX53" s="1155">
        <f t="shared" si="181"/>
        <v>0.81148696109266372</v>
      </c>
    </row>
    <row r="54" spans="2:154">
      <c r="B54" s="1233" t="s">
        <v>1272</v>
      </c>
      <c r="C54" s="1219">
        <v>8</v>
      </c>
      <c r="D54" s="1226" t="s">
        <v>1267</v>
      </c>
      <c r="E54" s="1226" t="s">
        <v>1268</v>
      </c>
      <c r="F54" s="1227" t="s">
        <v>1273</v>
      </c>
      <c r="V54" s="1268">
        <v>15</v>
      </c>
      <c r="W54" s="1276">
        <v>1.5550000000000002</v>
      </c>
      <c r="X54" s="1260">
        <v>83.2</v>
      </c>
      <c r="Y54" s="1272">
        <v>523.19890635680144</v>
      </c>
      <c r="Z54" s="1255" t="s">
        <v>1058</v>
      </c>
      <c r="AA54" s="1265">
        <v>4.5780000000000003</v>
      </c>
      <c r="AB54" s="1299">
        <v>7.8</v>
      </c>
      <c r="AC54" s="1294">
        <v>1.5027994471384729</v>
      </c>
      <c r="AD54" s="1271" t="s">
        <v>1058</v>
      </c>
      <c r="AE54" s="1271" t="s">
        <v>1058</v>
      </c>
      <c r="AF54" s="1254">
        <v>242.32566414000098</v>
      </c>
      <c r="AG54" s="1291">
        <v>261.97000000000003</v>
      </c>
      <c r="AH54" s="1285">
        <v>4</v>
      </c>
      <c r="AI54" s="1285">
        <v>2</v>
      </c>
      <c r="AJ54" s="1285">
        <v>2</v>
      </c>
      <c r="AK54" s="1285">
        <v>1</v>
      </c>
      <c r="AL54" s="1285">
        <v>1</v>
      </c>
      <c r="AM54" s="1285">
        <v>2</v>
      </c>
      <c r="AN54" s="1285">
        <v>3</v>
      </c>
      <c r="AO54" s="1285">
        <v>2</v>
      </c>
      <c r="AP54" s="1267">
        <v>109</v>
      </c>
      <c r="AQ54" s="1285"/>
      <c r="AR54" s="1285">
        <v>2</v>
      </c>
      <c r="AS54" s="1285">
        <v>5</v>
      </c>
      <c r="AT54" s="1285">
        <v>2</v>
      </c>
      <c r="AU54" s="1285"/>
      <c r="AV54" s="1133">
        <f t="shared" si="84"/>
        <v>3.81</v>
      </c>
      <c r="AW54" s="1134">
        <f t="shared" si="85"/>
        <v>1.25</v>
      </c>
      <c r="AX54" s="1134">
        <f t="shared" si="86"/>
        <v>0.15</v>
      </c>
      <c r="AY54" s="1135">
        <f t="shared" si="87"/>
        <v>1.5550000000000002</v>
      </c>
      <c r="AZ54" s="1136">
        <f t="shared" si="88"/>
        <v>0.99007299269482985</v>
      </c>
      <c r="BA54" s="1137">
        <f t="shared" si="89"/>
        <v>0.89993809999999996</v>
      </c>
      <c r="BB54" s="956">
        <f t="shared" si="90"/>
        <v>1.06</v>
      </c>
      <c r="BC54" s="1138">
        <f t="shared" si="91"/>
        <v>1.1000000000000001</v>
      </c>
      <c r="BD54" s="1139">
        <f t="shared" si="92"/>
        <v>83.2</v>
      </c>
      <c r="BE54" s="1138">
        <f t="shared" si="93"/>
        <v>0.71067302019431355</v>
      </c>
      <c r="BF54" s="1140">
        <f t="shared" si="94"/>
        <v>1</v>
      </c>
      <c r="BG54" s="1137">
        <f t="shared" si="95"/>
        <v>0.03</v>
      </c>
      <c r="BH54" s="956">
        <f t="shared" si="96"/>
        <v>1.35</v>
      </c>
      <c r="BI54" s="956">
        <f t="shared" si="97"/>
        <v>1.08</v>
      </c>
      <c r="BJ54" s="956">
        <f t="shared" si="98"/>
        <v>0</v>
      </c>
      <c r="BK54" s="956">
        <f t="shared" si="99"/>
        <v>1.08</v>
      </c>
      <c r="BL54" s="956">
        <f t="shared" si="100"/>
        <v>0</v>
      </c>
      <c r="BM54" s="1141">
        <f t="shared" si="101"/>
        <v>523.19890635680144</v>
      </c>
      <c r="BN54" s="1142">
        <f t="shared" si="102"/>
        <v>0.99999999530756134</v>
      </c>
      <c r="BO54" s="1143">
        <f t="shared" si="103"/>
        <v>0.43227500000000002</v>
      </c>
      <c r="BP54" s="1144">
        <f t="shared" si="104"/>
        <v>1</v>
      </c>
      <c r="BQ54" s="1134">
        <f t="shared" si="105"/>
        <v>0.9</v>
      </c>
      <c r="BR54" s="1145" t="str">
        <f t="shared" si="106"/>
        <v>.</v>
      </c>
      <c r="BS54" s="1146" t="e">
        <f t="shared" si="107"/>
        <v>#VALUE!</v>
      </c>
      <c r="BT54" s="1147">
        <f>VLOOKUP(AP54,'CROP FACTORS'!$C$5:$N$130,7,FALSE)</f>
        <v>5.5</v>
      </c>
      <c r="BU54" s="1148">
        <f>VLOOKUP(AP54,'CROP FACTORS'!$C$5:$P$130,8,FALSE)</f>
        <v>1</v>
      </c>
      <c r="BV54" s="1149">
        <f t="shared" si="108"/>
        <v>4.5780000000000003</v>
      </c>
      <c r="BW54" s="1150">
        <f t="shared" si="109"/>
        <v>0.65374232737548887</v>
      </c>
      <c r="BX54" s="1137">
        <f>VLOOKUP(AP54,'CROP FACTORS'!$C$5:$N$130,10,FALSE)</f>
        <v>13</v>
      </c>
      <c r="BY54" s="1138">
        <f t="shared" si="110"/>
        <v>88.484687800000074</v>
      </c>
      <c r="BZ54" s="956">
        <f t="shared" si="111"/>
        <v>0.01</v>
      </c>
      <c r="CA54" s="956">
        <f t="shared" si="112"/>
        <v>0.99</v>
      </c>
      <c r="CB54" s="1148">
        <f t="shared" si="113"/>
        <v>89.846865326337181</v>
      </c>
      <c r="CC54" s="1148">
        <f t="shared" si="114"/>
        <v>88.475839331220072</v>
      </c>
      <c r="CD54" s="956">
        <f t="shared" si="115"/>
        <v>140</v>
      </c>
      <c r="CE54" s="956">
        <f t="shared" si="116"/>
        <v>90000</v>
      </c>
      <c r="CF54" s="956">
        <f t="shared" si="117"/>
        <v>1</v>
      </c>
      <c r="CG54" s="956">
        <f t="shared" si="118"/>
        <v>0.02</v>
      </c>
      <c r="CH54" s="956">
        <f t="shared" si="119"/>
        <v>91399.5</v>
      </c>
      <c r="CI54" s="956">
        <f t="shared" si="120"/>
        <v>91800</v>
      </c>
      <c r="CJ54" s="1138">
        <f t="shared" si="121"/>
        <v>1.25</v>
      </c>
      <c r="CK54" s="1138">
        <f t="shared" si="122"/>
        <v>2.1</v>
      </c>
      <c r="CL54" s="1138">
        <f t="shared" si="123"/>
        <v>1.25</v>
      </c>
      <c r="CM54" s="1138">
        <f t="shared" si="124"/>
        <v>1.25</v>
      </c>
      <c r="CN54" s="1151">
        <f t="shared" si="125"/>
        <v>7.8</v>
      </c>
      <c r="CO54" s="1138">
        <f t="shared" si="126"/>
        <v>0.92203629565746748</v>
      </c>
      <c r="CP54" s="1138">
        <f t="shared" si="127"/>
        <v>0.92313454232199765</v>
      </c>
      <c r="CQ54" s="1152">
        <f t="shared" si="128"/>
        <v>0.92203629565746748</v>
      </c>
      <c r="CR54" s="1153">
        <f t="shared" si="129"/>
        <v>0.92313454232199765</v>
      </c>
      <c r="CS54" s="1137">
        <f t="shared" si="130"/>
        <v>0.79400000000000004</v>
      </c>
      <c r="CT54" s="956">
        <f t="shared" si="131"/>
        <v>88.025000000000006</v>
      </c>
      <c r="CU54" s="956">
        <f t="shared" si="132"/>
        <v>-12.061</v>
      </c>
      <c r="CV54" s="956">
        <f t="shared" si="133"/>
        <v>0</v>
      </c>
      <c r="CW54" s="956">
        <f t="shared" si="134"/>
        <v>9.3587152000000007</v>
      </c>
      <c r="CX54" s="956">
        <f t="shared" si="135"/>
        <v>-10.275524000000001</v>
      </c>
      <c r="CY54" s="1154">
        <f t="shared" si="136"/>
        <v>1.5027994471384729</v>
      </c>
      <c r="CZ54" s="1155">
        <f t="shared" si="137"/>
        <v>0.57831126575635439</v>
      </c>
      <c r="DA54" s="1137" t="e">
        <f>MIN(VLOOKUP(AP54,'CROP FACTORS'!$C$5:$N$130,2,FALSE),VLOOKUP(AQ54,'CROP FACTORS'!$C$5:$N$130,2,FALSE))</f>
        <v>#N/A</v>
      </c>
      <c r="DB54" s="956" t="e">
        <f>MIN(VLOOKUP(AP54,'CROP FACTORS'!$C$5:$N$130,4,FALSE),VLOOKUP(AQ54,'CROP FACTORS'!$C$5:$N$130,4,FALSE))</f>
        <v>#N/A</v>
      </c>
      <c r="DC54" s="1156" t="e">
        <f t="shared" si="138"/>
        <v>#N/A</v>
      </c>
      <c r="DD54" s="1138">
        <f t="shared" si="139"/>
        <v>1.07</v>
      </c>
      <c r="DE54" s="1157" t="str">
        <f t="shared" si="140"/>
        <v>.</v>
      </c>
      <c r="DF54" s="1138" t="e">
        <f t="shared" si="141"/>
        <v>#N/A</v>
      </c>
      <c r="DG54" s="1158" t="e">
        <f t="shared" si="142"/>
        <v>#N/A</v>
      </c>
      <c r="DH54" s="1159" t="str">
        <f t="shared" si="143"/>
        <v>.</v>
      </c>
      <c r="DI54" s="1153" t="e">
        <f t="shared" si="144"/>
        <v>#VALUE!</v>
      </c>
      <c r="DJ54" s="1133">
        <f t="shared" si="145"/>
        <v>5.8</v>
      </c>
      <c r="DK54" s="1160">
        <f t="shared" si="146"/>
        <v>2.9</v>
      </c>
      <c r="DL54" s="1134">
        <f t="shared" si="147"/>
        <v>2.1</v>
      </c>
      <c r="DM54" s="1161">
        <f t="shared" si="148"/>
        <v>242.32566414000098</v>
      </c>
      <c r="DN54" s="1144">
        <f t="shared" si="149"/>
        <v>52.142000000000003</v>
      </c>
      <c r="DO54" s="1162">
        <f t="shared" si="150"/>
        <v>1.0098409118585234</v>
      </c>
      <c r="DP54" s="1163">
        <f t="shared" si="151"/>
        <v>1</v>
      </c>
      <c r="DQ54" s="1133">
        <f t="shared" si="152"/>
        <v>1.0541</v>
      </c>
      <c r="DR54" s="1134">
        <f t="shared" si="153"/>
        <v>-9.8099999999999993E-3</v>
      </c>
      <c r="DS54" s="1164">
        <f t="shared" si="154"/>
        <v>261.97000000000003</v>
      </c>
      <c r="DT54" s="1146">
        <f t="shared" si="155"/>
        <v>0.97341788711036414</v>
      </c>
      <c r="DU54" s="1165">
        <f t="shared" si="156"/>
        <v>0.99007299269482985</v>
      </c>
      <c r="DV54" s="1166">
        <f t="shared" si="157"/>
        <v>1</v>
      </c>
      <c r="DW54" s="1166">
        <f t="shared" si="158"/>
        <v>0.99999999530756134</v>
      </c>
      <c r="DX54" s="1166"/>
      <c r="DY54" s="1166">
        <f t="shared" si="159"/>
        <v>0.65374232737548887</v>
      </c>
      <c r="DZ54" s="1166">
        <f t="shared" si="160"/>
        <v>0.92203629565746748</v>
      </c>
      <c r="EA54" s="1138"/>
      <c r="EB54" s="1166">
        <f t="shared" si="161"/>
        <v>0.57831126575635439</v>
      </c>
      <c r="EC54" s="1166"/>
      <c r="ED54" s="1138"/>
      <c r="EE54" s="1166">
        <f t="shared" si="162"/>
        <v>1</v>
      </c>
      <c r="EF54" s="1140">
        <f t="shared" si="163"/>
        <v>0.97341788711036414</v>
      </c>
      <c r="EG54" s="1159">
        <f t="shared" si="164"/>
        <v>7.1175807639020663</v>
      </c>
      <c r="EH54" s="1167">
        <f t="shared" si="165"/>
        <v>8</v>
      </c>
      <c r="EI54" s="1150">
        <f t="shared" si="166"/>
        <v>0.88969759548775829</v>
      </c>
      <c r="EJ54" s="1168">
        <f t="shared" si="167"/>
        <v>1.5783112657563545</v>
      </c>
      <c r="EK54" s="1169">
        <f t="shared" si="168"/>
        <v>2</v>
      </c>
      <c r="EL54" s="1170">
        <f t="shared" si="169"/>
        <v>0.78915563287817725</v>
      </c>
      <c r="EM54" s="1159">
        <f t="shared" si="170"/>
        <v>0.65374232737548887</v>
      </c>
      <c r="EN54" s="1167">
        <f t="shared" si="171"/>
        <v>1</v>
      </c>
      <c r="EO54" s="1171">
        <f t="shared" si="172"/>
        <v>0.65374232737548887</v>
      </c>
      <c r="EP54" s="1168">
        <f t="shared" si="173"/>
        <v>2.9900729880023911</v>
      </c>
      <c r="EQ54" s="1169">
        <f t="shared" si="174"/>
        <v>3</v>
      </c>
      <c r="ER54" s="1146">
        <f t="shared" si="175"/>
        <v>0.99669099600079702</v>
      </c>
      <c r="ES54" s="1159">
        <f t="shared" si="176"/>
        <v>1.8954541827678315</v>
      </c>
      <c r="ET54" s="1167">
        <f t="shared" si="177"/>
        <v>2</v>
      </c>
      <c r="EU54" s="1155">
        <f t="shared" si="178"/>
        <v>0.94772709138391575</v>
      </c>
      <c r="EV54" s="1159">
        <f t="shared" si="179"/>
        <v>2.5491965101433203</v>
      </c>
      <c r="EW54" s="1167">
        <f t="shared" si="180"/>
        <v>3</v>
      </c>
      <c r="EX54" s="1155">
        <f t="shared" si="181"/>
        <v>0.84973217004777346</v>
      </c>
    </row>
    <row r="55" spans="2:154">
      <c r="B55" s="1234" t="s">
        <v>1272</v>
      </c>
      <c r="C55" s="1223">
        <v>9</v>
      </c>
      <c r="D55" s="1228" t="s">
        <v>1267</v>
      </c>
      <c r="E55" s="1228" t="s">
        <v>1268</v>
      </c>
      <c r="F55" s="1229" t="s">
        <v>1273</v>
      </c>
      <c r="V55" s="1286">
        <v>15.1</v>
      </c>
      <c r="W55" s="1295">
        <v>1.3599999999999999</v>
      </c>
      <c r="X55" s="1298">
        <v>84.6</v>
      </c>
      <c r="Y55" s="1289">
        <v>494.6476767676765</v>
      </c>
      <c r="Z55" s="1255" t="s">
        <v>1058</v>
      </c>
      <c r="AA55" s="1293">
        <v>4.5780000000000003</v>
      </c>
      <c r="AB55" s="1297">
        <v>5</v>
      </c>
      <c r="AC55" s="1266">
        <v>1.5480122754000047</v>
      </c>
      <c r="AD55" s="1271" t="s">
        <v>1058</v>
      </c>
      <c r="AE55" s="1271" t="s">
        <v>1058</v>
      </c>
      <c r="AF55" s="1264">
        <v>379.28316446911884</v>
      </c>
      <c r="AG55" s="1288">
        <v>136.459</v>
      </c>
      <c r="AH55" s="1311">
        <v>4</v>
      </c>
      <c r="AI55" s="1311">
        <v>2</v>
      </c>
      <c r="AJ55" s="1311">
        <v>2</v>
      </c>
      <c r="AK55" s="1311">
        <v>1</v>
      </c>
      <c r="AL55" s="1311">
        <v>1</v>
      </c>
      <c r="AM55" s="1311">
        <v>2</v>
      </c>
      <c r="AN55" s="1311">
        <v>3</v>
      </c>
      <c r="AO55" s="1311">
        <v>2</v>
      </c>
      <c r="AP55" s="1267">
        <v>109</v>
      </c>
      <c r="AQ55" s="1311"/>
      <c r="AR55" s="1311">
        <v>2</v>
      </c>
      <c r="AS55" s="1311">
        <v>5</v>
      </c>
      <c r="AT55" s="1311">
        <v>2</v>
      </c>
      <c r="AU55" s="1311"/>
      <c r="AV55" s="1133">
        <f t="shared" si="84"/>
        <v>3.81</v>
      </c>
      <c r="AW55" s="1134">
        <f t="shared" si="85"/>
        <v>1.25</v>
      </c>
      <c r="AX55" s="1134">
        <f t="shared" si="86"/>
        <v>0.15</v>
      </c>
      <c r="AY55" s="1135">
        <f t="shared" si="87"/>
        <v>1.3599999999999999</v>
      </c>
      <c r="AZ55" s="1136">
        <f t="shared" si="88"/>
        <v>0.97165441711841416</v>
      </c>
      <c r="BA55" s="1137">
        <f t="shared" si="89"/>
        <v>0.89993809999999996</v>
      </c>
      <c r="BB55" s="956">
        <f t="shared" si="90"/>
        <v>1.06</v>
      </c>
      <c r="BC55" s="1138">
        <f t="shared" si="91"/>
        <v>1.1000000000000001</v>
      </c>
      <c r="BD55" s="1139">
        <f t="shared" si="92"/>
        <v>84.6</v>
      </c>
      <c r="BE55" s="1138">
        <f t="shared" si="93"/>
        <v>0.68299541994050361</v>
      </c>
      <c r="BF55" s="1140">
        <f t="shared" si="94"/>
        <v>1</v>
      </c>
      <c r="BG55" s="1137">
        <f t="shared" si="95"/>
        <v>0.03</v>
      </c>
      <c r="BH55" s="956">
        <f t="shared" si="96"/>
        <v>1.35</v>
      </c>
      <c r="BI55" s="956">
        <f t="shared" si="97"/>
        <v>1.08</v>
      </c>
      <c r="BJ55" s="956">
        <f t="shared" si="98"/>
        <v>0</v>
      </c>
      <c r="BK55" s="956">
        <f t="shared" si="99"/>
        <v>1.08</v>
      </c>
      <c r="BL55" s="956">
        <f t="shared" si="100"/>
        <v>0</v>
      </c>
      <c r="BM55" s="1141">
        <f t="shared" si="101"/>
        <v>494.6476767676765</v>
      </c>
      <c r="BN55" s="1142">
        <f t="shared" si="102"/>
        <v>0.99999998364091836</v>
      </c>
      <c r="BO55" s="1143">
        <f t="shared" si="103"/>
        <v>0.43227500000000002</v>
      </c>
      <c r="BP55" s="1144">
        <f t="shared" si="104"/>
        <v>1</v>
      </c>
      <c r="BQ55" s="1134">
        <f t="shared" si="105"/>
        <v>0.9</v>
      </c>
      <c r="BR55" s="1145" t="str">
        <f t="shared" si="106"/>
        <v>.</v>
      </c>
      <c r="BS55" s="1146" t="e">
        <f t="shared" si="107"/>
        <v>#VALUE!</v>
      </c>
      <c r="BT55" s="1147">
        <f>VLOOKUP(AP55,'CROP FACTORS'!$C$5:$N$130,7,FALSE)</f>
        <v>5.5</v>
      </c>
      <c r="BU55" s="1148">
        <f>VLOOKUP(AP55,'CROP FACTORS'!$C$5:$P$130,8,FALSE)</f>
        <v>1</v>
      </c>
      <c r="BV55" s="1149">
        <f t="shared" si="108"/>
        <v>4.5780000000000003</v>
      </c>
      <c r="BW55" s="1150">
        <f t="shared" si="109"/>
        <v>0.65374232737548887</v>
      </c>
      <c r="BX55" s="1137">
        <f>VLOOKUP(AP55,'CROP FACTORS'!$C$5:$N$130,10,FALSE)</f>
        <v>13</v>
      </c>
      <c r="BY55" s="1138">
        <f t="shared" si="110"/>
        <v>88.484687800000074</v>
      </c>
      <c r="BZ55" s="956">
        <f t="shared" si="111"/>
        <v>0.01</v>
      </c>
      <c r="CA55" s="956">
        <f t="shared" si="112"/>
        <v>0.99</v>
      </c>
      <c r="CB55" s="1148">
        <f t="shared" si="113"/>
        <v>89.676045636539271</v>
      </c>
      <c r="CC55" s="1148">
        <f t="shared" si="114"/>
        <v>88.475839331220072</v>
      </c>
      <c r="CD55" s="956">
        <f t="shared" si="115"/>
        <v>140</v>
      </c>
      <c r="CE55" s="956">
        <f t="shared" si="116"/>
        <v>90000</v>
      </c>
      <c r="CF55" s="956">
        <f t="shared" si="117"/>
        <v>1</v>
      </c>
      <c r="CG55" s="956">
        <f t="shared" si="118"/>
        <v>0.02</v>
      </c>
      <c r="CH55" s="956">
        <f t="shared" si="119"/>
        <v>91224</v>
      </c>
      <c r="CI55" s="956">
        <f t="shared" si="120"/>
        <v>91800</v>
      </c>
      <c r="CJ55" s="1138">
        <f t="shared" si="121"/>
        <v>1.25</v>
      </c>
      <c r="CK55" s="1138">
        <f t="shared" si="122"/>
        <v>2.1</v>
      </c>
      <c r="CL55" s="1138">
        <f t="shared" si="123"/>
        <v>1.25</v>
      </c>
      <c r="CM55" s="1138">
        <f t="shared" si="124"/>
        <v>1.25</v>
      </c>
      <c r="CN55" s="1151">
        <f t="shared" si="125"/>
        <v>5</v>
      </c>
      <c r="CO55" s="1138">
        <f t="shared" si="126"/>
        <v>0.75241012173311472</v>
      </c>
      <c r="CP55" s="1138">
        <f t="shared" si="127"/>
        <v>0.75491166011130828</v>
      </c>
      <c r="CQ55" s="1152">
        <f t="shared" si="128"/>
        <v>0.75241012173311472</v>
      </c>
      <c r="CR55" s="1153">
        <f t="shared" si="129"/>
        <v>0.75491166011130828</v>
      </c>
      <c r="CS55" s="1137">
        <f t="shared" si="130"/>
        <v>0.79400000000000004</v>
      </c>
      <c r="CT55" s="956">
        <f t="shared" si="131"/>
        <v>88.025000000000006</v>
      </c>
      <c r="CU55" s="956">
        <f t="shared" si="132"/>
        <v>-12.061</v>
      </c>
      <c r="CV55" s="956">
        <f t="shared" si="133"/>
        <v>0</v>
      </c>
      <c r="CW55" s="956">
        <f t="shared" si="134"/>
        <v>9.3587152000000007</v>
      </c>
      <c r="CX55" s="956">
        <f t="shared" si="135"/>
        <v>-10.275524000000001</v>
      </c>
      <c r="CY55" s="1154">
        <f t="shared" si="136"/>
        <v>1.5480122754000047</v>
      </c>
      <c r="CZ55" s="1155">
        <f t="shared" si="137"/>
        <v>0.48904966817774087</v>
      </c>
      <c r="DA55" s="1137" t="e">
        <f>MIN(VLOOKUP(AP55,'CROP FACTORS'!$C$5:$N$130,2,FALSE),VLOOKUP(AQ55,'CROP FACTORS'!$C$5:$N$130,2,FALSE))</f>
        <v>#N/A</v>
      </c>
      <c r="DB55" s="956" t="e">
        <f>MIN(VLOOKUP(AP55,'CROP FACTORS'!$C$5:$N$130,4,FALSE),VLOOKUP(AQ55,'CROP FACTORS'!$C$5:$N$130,4,FALSE))</f>
        <v>#N/A</v>
      </c>
      <c r="DC55" s="1156" t="e">
        <f t="shared" si="138"/>
        <v>#N/A</v>
      </c>
      <c r="DD55" s="1138">
        <f t="shared" si="139"/>
        <v>1.07</v>
      </c>
      <c r="DE55" s="1157" t="str">
        <f t="shared" si="140"/>
        <v>.</v>
      </c>
      <c r="DF55" s="1138" t="e">
        <f t="shared" si="141"/>
        <v>#N/A</v>
      </c>
      <c r="DG55" s="1158" t="e">
        <f t="shared" si="142"/>
        <v>#N/A</v>
      </c>
      <c r="DH55" s="1159" t="str">
        <f t="shared" si="143"/>
        <v>.</v>
      </c>
      <c r="DI55" s="1153" t="e">
        <f t="shared" si="144"/>
        <v>#VALUE!</v>
      </c>
      <c r="DJ55" s="1133">
        <f t="shared" si="145"/>
        <v>5.8</v>
      </c>
      <c r="DK55" s="1160">
        <f t="shared" si="146"/>
        <v>2.9</v>
      </c>
      <c r="DL55" s="1134">
        <f t="shared" si="147"/>
        <v>2.1</v>
      </c>
      <c r="DM55" s="1161">
        <f t="shared" si="148"/>
        <v>379.28316446911884</v>
      </c>
      <c r="DN55" s="1144">
        <f t="shared" si="149"/>
        <v>52.142000000000003</v>
      </c>
      <c r="DO55" s="1162">
        <f t="shared" si="150"/>
        <v>1.0099998740187488</v>
      </c>
      <c r="DP55" s="1163">
        <f t="shared" si="151"/>
        <v>1</v>
      </c>
      <c r="DQ55" s="1133">
        <f t="shared" si="152"/>
        <v>1.0541</v>
      </c>
      <c r="DR55" s="1134">
        <f t="shared" si="153"/>
        <v>-9.8099999999999993E-3</v>
      </c>
      <c r="DS55" s="1164">
        <f t="shared" si="154"/>
        <v>136.459</v>
      </c>
      <c r="DT55" s="1146">
        <f t="shared" si="155"/>
        <v>0.77771914850346968</v>
      </c>
      <c r="DU55" s="1165">
        <f t="shared" si="156"/>
        <v>0.97165441711841416</v>
      </c>
      <c r="DV55" s="1166">
        <f t="shared" si="157"/>
        <v>1</v>
      </c>
      <c r="DW55" s="1166">
        <f t="shared" si="158"/>
        <v>0.99999998364091836</v>
      </c>
      <c r="DX55" s="1166"/>
      <c r="DY55" s="1166">
        <f t="shared" si="159"/>
        <v>0.65374232737548887</v>
      </c>
      <c r="DZ55" s="1166">
        <f t="shared" si="160"/>
        <v>0.75241012173311472</v>
      </c>
      <c r="EA55" s="1138"/>
      <c r="EB55" s="1166">
        <f t="shared" si="161"/>
        <v>0.48904966817774087</v>
      </c>
      <c r="EC55" s="1166"/>
      <c r="ED55" s="1138"/>
      <c r="EE55" s="1166">
        <f t="shared" si="162"/>
        <v>1</v>
      </c>
      <c r="EF55" s="1140">
        <f t="shared" si="163"/>
        <v>0.77771914850346968</v>
      </c>
      <c r="EG55" s="1159">
        <f t="shared" si="164"/>
        <v>6.6445756665491462</v>
      </c>
      <c r="EH55" s="1167">
        <f t="shared" si="165"/>
        <v>8</v>
      </c>
      <c r="EI55" s="1150">
        <f t="shared" si="166"/>
        <v>0.83057195831864328</v>
      </c>
      <c r="EJ55" s="1168">
        <f t="shared" si="167"/>
        <v>1.4890496681777408</v>
      </c>
      <c r="EK55" s="1169">
        <f t="shared" si="168"/>
        <v>2</v>
      </c>
      <c r="EL55" s="1170">
        <f t="shared" si="169"/>
        <v>0.74452483408887038</v>
      </c>
      <c r="EM55" s="1159">
        <f t="shared" si="170"/>
        <v>0.65374232737548887</v>
      </c>
      <c r="EN55" s="1167">
        <f t="shared" si="171"/>
        <v>1</v>
      </c>
      <c r="EO55" s="1171">
        <f t="shared" si="172"/>
        <v>0.65374232737548887</v>
      </c>
      <c r="EP55" s="1168">
        <f t="shared" si="173"/>
        <v>2.9716544007593324</v>
      </c>
      <c r="EQ55" s="1169">
        <f t="shared" si="174"/>
        <v>3</v>
      </c>
      <c r="ER55" s="1146">
        <f t="shared" si="175"/>
        <v>0.99055146691977747</v>
      </c>
      <c r="ES55" s="1159">
        <f t="shared" si="176"/>
        <v>1.5301292702365843</v>
      </c>
      <c r="ET55" s="1167">
        <f t="shared" si="177"/>
        <v>2</v>
      </c>
      <c r="EU55" s="1155">
        <f t="shared" si="178"/>
        <v>0.76506463511829215</v>
      </c>
      <c r="EV55" s="1159">
        <f t="shared" si="179"/>
        <v>2.1838715976120731</v>
      </c>
      <c r="EW55" s="1167">
        <f t="shared" si="180"/>
        <v>3</v>
      </c>
      <c r="EX55" s="1155">
        <f t="shared" si="181"/>
        <v>0.72795719920402435</v>
      </c>
    </row>
    <row r="56" spans="2:154">
      <c r="B56" s="1233" t="s">
        <v>1272</v>
      </c>
      <c r="C56" s="1219">
        <v>1</v>
      </c>
      <c r="D56" s="1230" t="s">
        <v>1269</v>
      </c>
      <c r="E56" s="1230" t="s">
        <v>1270</v>
      </c>
      <c r="F56" s="1231" t="s">
        <v>1271</v>
      </c>
      <c r="V56" s="1278">
        <v>17.7</v>
      </c>
      <c r="W56" s="1262">
        <v>0.96</v>
      </c>
      <c r="X56" s="1283">
        <v>58.8</v>
      </c>
      <c r="Y56" s="1272">
        <v>542.70736562707361</v>
      </c>
      <c r="Z56" s="1255" t="s">
        <v>1058</v>
      </c>
      <c r="AA56" s="1277">
        <v>5.6844000000000001</v>
      </c>
      <c r="AB56" s="1261">
        <v>11.2</v>
      </c>
      <c r="AC56" s="1294">
        <v>1.5129899032492331</v>
      </c>
      <c r="AD56" s="1271" t="s">
        <v>1058</v>
      </c>
      <c r="AE56" s="1271" t="s">
        <v>1058</v>
      </c>
      <c r="AF56" s="1254">
        <v>221.66818805908053</v>
      </c>
      <c r="AG56" s="1282">
        <v>97.359000000000009</v>
      </c>
      <c r="AH56" s="1290">
        <v>4</v>
      </c>
      <c r="AI56" s="1290">
        <v>2</v>
      </c>
      <c r="AJ56" s="1290">
        <v>2</v>
      </c>
      <c r="AK56" s="1290">
        <v>1</v>
      </c>
      <c r="AL56" s="1290">
        <v>1</v>
      </c>
      <c r="AM56" s="1290">
        <v>2</v>
      </c>
      <c r="AN56" s="1290">
        <v>3</v>
      </c>
      <c r="AO56" s="1290">
        <v>2</v>
      </c>
      <c r="AP56" s="1253">
        <v>110</v>
      </c>
      <c r="AQ56" s="1290"/>
      <c r="AR56" s="1290">
        <v>2</v>
      </c>
      <c r="AS56" s="1290">
        <v>5</v>
      </c>
      <c r="AT56" s="1290">
        <v>2</v>
      </c>
      <c r="AU56" s="1290"/>
      <c r="AV56" s="1133">
        <f t="shared" si="84"/>
        <v>3.81</v>
      </c>
      <c r="AW56" s="1134">
        <f t="shared" si="85"/>
        <v>1.25</v>
      </c>
      <c r="AX56" s="1134">
        <f t="shared" si="86"/>
        <v>0.15</v>
      </c>
      <c r="AY56" s="1135">
        <f t="shared" si="87"/>
        <v>0.96</v>
      </c>
      <c r="AZ56" s="1136">
        <f t="shared" si="88"/>
        <v>0.79311070839421249</v>
      </c>
      <c r="BA56" s="1137">
        <f t="shared" si="89"/>
        <v>0.89993809999999996</v>
      </c>
      <c r="BB56" s="956">
        <f t="shared" si="90"/>
        <v>1.06</v>
      </c>
      <c r="BC56" s="1138">
        <f t="shared" si="91"/>
        <v>1.1000000000000001</v>
      </c>
      <c r="BD56" s="1139">
        <f t="shared" si="92"/>
        <v>58.8</v>
      </c>
      <c r="BE56" s="1138">
        <f t="shared" si="93"/>
        <v>0.99673587496963834</v>
      </c>
      <c r="BF56" s="1140">
        <f t="shared" si="94"/>
        <v>1</v>
      </c>
      <c r="BG56" s="1137">
        <f t="shared" si="95"/>
        <v>0.03</v>
      </c>
      <c r="BH56" s="956">
        <f t="shared" si="96"/>
        <v>1.35</v>
      </c>
      <c r="BI56" s="956">
        <f t="shared" si="97"/>
        <v>1.08</v>
      </c>
      <c r="BJ56" s="956">
        <f t="shared" si="98"/>
        <v>0</v>
      </c>
      <c r="BK56" s="956">
        <f t="shared" si="99"/>
        <v>1.08</v>
      </c>
      <c r="BL56" s="956">
        <f t="shared" si="100"/>
        <v>0</v>
      </c>
      <c r="BM56" s="1141">
        <f t="shared" si="101"/>
        <v>542.70736562707361</v>
      </c>
      <c r="BN56" s="1142">
        <f t="shared" si="102"/>
        <v>0.99999999800098927</v>
      </c>
      <c r="BO56" s="1143">
        <f t="shared" si="103"/>
        <v>0.43227500000000002</v>
      </c>
      <c r="BP56" s="1144">
        <f t="shared" si="104"/>
        <v>1</v>
      </c>
      <c r="BQ56" s="1134">
        <f t="shared" si="105"/>
        <v>0.9</v>
      </c>
      <c r="BR56" s="1145" t="str">
        <f t="shared" si="106"/>
        <v>.</v>
      </c>
      <c r="BS56" s="1146" t="e">
        <f t="shared" si="107"/>
        <v>#VALUE!</v>
      </c>
      <c r="BT56" s="1147">
        <f>VLOOKUP(AP56,'CROP FACTORS'!$C$5:$N$130,7,FALSE)</f>
        <v>6</v>
      </c>
      <c r="BU56" s="1148">
        <f>VLOOKUP(AP56,'CROP FACTORS'!$C$5:$P$130,8,FALSE)</f>
        <v>1</v>
      </c>
      <c r="BV56" s="1149">
        <f t="shared" si="108"/>
        <v>5.6844000000000001</v>
      </c>
      <c r="BW56" s="1150">
        <f t="shared" si="109"/>
        <v>0.95141809102773545</v>
      </c>
      <c r="BX56" s="1137">
        <f>VLOOKUP(AP56,'CROP FACTORS'!$C$5:$N$130,10,FALSE)</f>
        <v>16</v>
      </c>
      <c r="BY56" s="1138">
        <f t="shared" si="110"/>
        <v>170.02558720000002</v>
      </c>
      <c r="BZ56" s="956">
        <f t="shared" si="111"/>
        <v>0.01</v>
      </c>
      <c r="CA56" s="956">
        <f t="shared" si="112"/>
        <v>0.99</v>
      </c>
      <c r="CB56" s="1148">
        <f t="shared" si="113"/>
        <v>171.64151038074883</v>
      </c>
      <c r="CC56" s="1148">
        <f t="shared" si="114"/>
        <v>170.00858464128004</v>
      </c>
      <c r="CD56" s="956">
        <f t="shared" si="115"/>
        <v>140</v>
      </c>
      <c r="CE56" s="956">
        <f t="shared" si="116"/>
        <v>90000</v>
      </c>
      <c r="CF56" s="956">
        <f t="shared" si="117"/>
        <v>1</v>
      </c>
      <c r="CG56" s="956">
        <f t="shared" si="118"/>
        <v>0.02</v>
      </c>
      <c r="CH56" s="956">
        <f t="shared" si="119"/>
        <v>90864</v>
      </c>
      <c r="CI56" s="956">
        <f t="shared" si="120"/>
        <v>91800</v>
      </c>
      <c r="CJ56" s="1138">
        <f t="shared" si="121"/>
        <v>1.25</v>
      </c>
      <c r="CK56" s="1138">
        <f t="shared" si="122"/>
        <v>2.1</v>
      </c>
      <c r="CL56" s="1138">
        <f t="shared" si="123"/>
        <v>1.25</v>
      </c>
      <c r="CM56" s="1138">
        <f t="shared" si="124"/>
        <v>1.25</v>
      </c>
      <c r="CN56" s="1151">
        <f t="shared" si="125"/>
        <v>11.2</v>
      </c>
      <c r="CO56" s="1138">
        <f t="shared" si="126"/>
        <v>0.94931531033324468</v>
      </c>
      <c r="CP56" s="1138">
        <f t="shared" si="127"/>
        <v>0.94977328413586248</v>
      </c>
      <c r="CQ56" s="1152">
        <f t="shared" si="128"/>
        <v>0.94931531033324468</v>
      </c>
      <c r="CR56" s="1153">
        <f t="shared" si="129"/>
        <v>0.94977328413586248</v>
      </c>
      <c r="CS56" s="1137">
        <f t="shared" si="130"/>
        <v>0.79400000000000004</v>
      </c>
      <c r="CT56" s="956">
        <f t="shared" si="131"/>
        <v>88.025000000000006</v>
      </c>
      <c r="CU56" s="956">
        <f t="shared" si="132"/>
        <v>-12.061</v>
      </c>
      <c r="CV56" s="956">
        <f t="shared" si="133"/>
        <v>0</v>
      </c>
      <c r="CW56" s="956">
        <f t="shared" si="134"/>
        <v>9.3587152000000007</v>
      </c>
      <c r="CX56" s="956">
        <f t="shared" si="135"/>
        <v>-10.275524000000001</v>
      </c>
      <c r="CY56" s="1154">
        <f t="shared" si="136"/>
        <v>1.5129899032492331</v>
      </c>
      <c r="CZ56" s="1155">
        <f t="shared" si="137"/>
        <v>0.55671167521579468</v>
      </c>
      <c r="DA56" s="1137" t="e">
        <f>MIN(VLOOKUP(AP56,'CROP FACTORS'!$C$5:$N$130,2,FALSE),VLOOKUP(AQ56,'CROP FACTORS'!$C$5:$N$130,2,FALSE))</f>
        <v>#N/A</v>
      </c>
      <c r="DB56" s="956" t="e">
        <f>MIN(VLOOKUP(AP56,'CROP FACTORS'!$C$5:$N$130,4,FALSE),VLOOKUP(AQ56,'CROP FACTORS'!$C$5:$N$130,4,FALSE))</f>
        <v>#N/A</v>
      </c>
      <c r="DC56" s="1156" t="e">
        <f t="shared" si="138"/>
        <v>#N/A</v>
      </c>
      <c r="DD56" s="1138">
        <f t="shared" si="139"/>
        <v>1.07</v>
      </c>
      <c r="DE56" s="1157" t="str">
        <f t="shared" si="140"/>
        <v>.</v>
      </c>
      <c r="DF56" s="1138" t="e">
        <f t="shared" si="141"/>
        <v>#N/A</v>
      </c>
      <c r="DG56" s="1158" t="e">
        <f t="shared" si="142"/>
        <v>#N/A</v>
      </c>
      <c r="DH56" s="1159" t="str">
        <f t="shared" si="143"/>
        <v>.</v>
      </c>
      <c r="DI56" s="1153" t="e">
        <f t="shared" si="144"/>
        <v>#VALUE!</v>
      </c>
      <c r="DJ56" s="1133">
        <f t="shared" si="145"/>
        <v>5.8</v>
      </c>
      <c r="DK56" s="1160">
        <f t="shared" si="146"/>
        <v>2.9</v>
      </c>
      <c r="DL56" s="1134">
        <f t="shared" si="147"/>
        <v>2.1</v>
      </c>
      <c r="DM56" s="1161">
        <f t="shared" si="148"/>
        <v>221.66818805908053</v>
      </c>
      <c r="DN56" s="1144">
        <f t="shared" si="149"/>
        <v>52.142000000000003</v>
      </c>
      <c r="DO56" s="1162">
        <f t="shared" si="150"/>
        <v>1.0095330250656658</v>
      </c>
      <c r="DP56" s="1163">
        <f t="shared" si="151"/>
        <v>1</v>
      </c>
      <c r="DQ56" s="1133">
        <f t="shared" si="152"/>
        <v>1.0541</v>
      </c>
      <c r="DR56" s="1134">
        <f t="shared" si="153"/>
        <v>-9.8099999999999993E-3</v>
      </c>
      <c r="DS56" s="1164">
        <f t="shared" si="154"/>
        <v>97.359000000000009</v>
      </c>
      <c r="DT56" s="1146">
        <f t="shared" si="155"/>
        <v>0.64850674953986087</v>
      </c>
      <c r="DU56" s="1165">
        <f t="shared" si="156"/>
        <v>0.79311070839421249</v>
      </c>
      <c r="DV56" s="1166">
        <f t="shared" si="157"/>
        <v>1</v>
      </c>
      <c r="DW56" s="1166">
        <f t="shared" si="158"/>
        <v>0.99999999800098927</v>
      </c>
      <c r="DX56" s="1166"/>
      <c r="DY56" s="1166">
        <f t="shared" si="159"/>
        <v>0.95141809102773545</v>
      </c>
      <c r="DZ56" s="1166">
        <f t="shared" si="160"/>
        <v>0.94931531033324468</v>
      </c>
      <c r="EA56" s="1138"/>
      <c r="EB56" s="1166">
        <f t="shared" si="161"/>
        <v>0.55671167521579468</v>
      </c>
      <c r="EC56" s="1166"/>
      <c r="ED56" s="1138"/>
      <c r="EE56" s="1166">
        <f t="shared" si="162"/>
        <v>1</v>
      </c>
      <c r="EF56" s="1140">
        <f t="shared" si="163"/>
        <v>0.64850674953986087</v>
      </c>
      <c r="EG56" s="1159">
        <f t="shared" si="164"/>
        <v>6.8990625325118371</v>
      </c>
      <c r="EH56" s="1167">
        <f t="shared" si="165"/>
        <v>8</v>
      </c>
      <c r="EI56" s="1302">
        <f t="shared" si="166"/>
        <v>0.86238281656397964</v>
      </c>
      <c r="EJ56" s="1168">
        <f t="shared" si="167"/>
        <v>1.5567116752157948</v>
      </c>
      <c r="EK56" s="1169">
        <f t="shared" si="168"/>
        <v>2</v>
      </c>
      <c r="EL56" s="1170">
        <f t="shared" si="169"/>
        <v>0.77835583760789739</v>
      </c>
      <c r="EM56" s="1159">
        <f t="shared" si="170"/>
        <v>0.95141809102773545</v>
      </c>
      <c r="EN56" s="1167">
        <f t="shared" si="171"/>
        <v>1</v>
      </c>
      <c r="EO56" s="1171">
        <f t="shared" si="172"/>
        <v>0.95141809102773545</v>
      </c>
      <c r="EP56" s="1168">
        <f t="shared" si="173"/>
        <v>2.7931107063952019</v>
      </c>
      <c r="EQ56" s="1169">
        <f t="shared" si="174"/>
        <v>3</v>
      </c>
      <c r="ER56" s="1146">
        <f t="shared" si="175"/>
        <v>0.93103690213173396</v>
      </c>
      <c r="ES56" s="1159">
        <f t="shared" si="176"/>
        <v>1.5978220598731054</v>
      </c>
      <c r="ET56" s="1167">
        <f t="shared" si="177"/>
        <v>2</v>
      </c>
      <c r="EU56" s="1155">
        <f t="shared" si="178"/>
        <v>0.79891102993655272</v>
      </c>
      <c r="EV56" s="1159">
        <f t="shared" si="179"/>
        <v>2.5492401509008409</v>
      </c>
      <c r="EW56" s="1167">
        <f t="shared" si="180"/>
        <v>3</v>
      </c>
      <c r="EX56" s="1155">
        <f t="shared" si="181"/>
        <v>0.84974671696694692</v>
      </c>
    </row>
    <row r="57" spans="2:154">
      <c r="B57" s="1233" t="s">
        <v>1272</v>
      </c>
      <c r="C57" s="1219">
        <v>2</v>
      </c>
      <c r="D57" s="1230" t="s">
        <v>1269</v>
      </c>
      <c r="E57" s="1230" t="s">
        <v>1270</v>
      </c>
      <c r="F57" s="1231" t="s">
        <v>1271</v>
      </c>
      <c r="V57" s="1278">
        <v>15.1</v>
      </c>
      <c r="W57" s="1262">
        <v>1.2749999999999999</v>
      </c>
      <c r="X57" s="1283">
        <v>74.600000000000009</v>
      </c>
      <c r="Y57" s="1272">
        <v>392.2111709428782</v>
      </c>
      <c r="Z57" s="1255" t="s">
        <v>1058</v>
      </c>
      <c r="AA57" s="1277">
        <v>6.3298000000000005</v>
      </c>
      <c r="AB57" s="1261">
        <v>14.6</v>
      </c>
      <c r="AC57" s="1294">
        <v>1.6904443975917727</v>
      </c>
      <c r="AD57" s="1271" t="s">
        <v>1058</v>
      </c>
      <c r="AE57" s="1271" t="s">
        <v>1058</v>
      </c>
      <c r="AF57" s="1254">
        <v>198.87968216873105</v>
      </c>
      <c r="AG57" s="1282">
        <v>84.064999999999998</v>
      </c>
      <c r="AH57" s="1290">
        <v>4</v>
      </c>
      <c r="AI57" s="1290">
        <v>2</v>
      </c>
      <c r="AJ57" s="1290">
        <v>2</v>
      </c>
      <c r="AK57" s="1290">
        <v>1</v>
      </c>
      <c r="AL57" s="1290">
        <v>1</v>
      </c>
      <c r="AM57" s="1290">
        <v>2</v>
      </c>
      <c r="AN57" s="1290">
        <v>3</v>
      </c>
      <c r="AO57" s="1290">
        <v>2</v>
      </c>
      <c r="AP57" s="1253">
        <v>110</v>
      </c>
      <c r="AQ57" s="1290"/>
      <c r="AR57" s="1290">
        <v>2</v>
      </c>
      <c r="AS57" s="1290">
        <v>5</v>
      </c>
      <c r="AT57" s="1290">
        <v>2</v>
      </c>
      <c r="AU57" s="1290"/>
      <c r="AV57" s="1133">
        <f t="shared" si="84"/>
        <v>3.81</v>
      </c>
      <c r="AW57" s="1134">
        <f t="shared" si="85"/>
        <v>1.25</v>
      </c>
      <c r="AX57" s="1134">
        <f t="shared" si="86"/>
        <v>0.15</v>
      </c>
      <c r="AY57" s="1135">
        <f t="shared" si="87"/>
        <v>1.2749999999999999</v>
      </c>
      <c r="AZ57" s="1136">
        <f t="shared" si="88"/>
        <v>0.95559553081488946</v>
      </c>
      <c r="BA57" s="1137">
        <f t="shared" si="89"/>
        <v>0.89993809999999996</v>
      </c>
      <c r="BB57" s="956">
        <f t="shared" si="90"/>
        <v>1.06</v>
      </c>
      <c r="BC57" s="1138">
        <f t="shared" si="91"/>
        <v>1.1000000000000001</v>
      </c>
      <c r="BD57" s="1139">
        <f t="shared" si="92"/>
        <v>74.600000000000009</v>
      </c>
      <c r="BE57" s="1138">
        <f t="shared" si="93"/>
        <v>0.85513759449842575</v>
      </c>
      <c r="BF57" s="1140">
        <f t="shared" si="94"/>
        <v>1</v>
      </c>
      <c r="BG57" s="1137">
        <f t="shared" si="95"/>
        <v>0.03</v>
      </c>
      <c r="BH57" s="956">
        <f t="shared" si="96"/>
        <v>1.35</v>
      </c>
      <c r="BI57" s="956">
        <f t="shared" si="97"/>
        <v>1.08</v>
      </c>
      <c r="BJ57" s="956">
        <f t="shared" si="98"/>
        <v>0</v>
      </c>
      <c r="BK57" s="956">
        <f t="shared" si="99"/>
        <v>1.08</v>
      </c>
      <c r="BL57" s="956">
        <f t="shared" si="100"/>
        <v>0</v>
      </c>
      <c r="BM57" s="1141">
        <f t="shared" si="101"/>
        <v>392.2111709428782</v>
      </c>
      <c r="BN57" s="1142">
        <f t="shared" si="102"/>
        <v>0.99999855573685759</v>
      </c>
      <c r="BO57" s="1143">
        <f t="shared" si="103"/>
        <v>0.43227500000000002</v>
      </c>
      <c r="BP57" s="1144">
        <f t="shared" si="104"/>
        <v>1</v>
      </c>
      <c r="BQ57" s="1134">
        <f t="shared" si="105"/>
        <v>0.9</v>
      </c>
      <c r="BR57" s="1145" t="str">
        <f t="shared" si="106"/>
        <v>.</v>
      </c>
      <c r="BS57" s="1146" t="e">
        <f t="shared" si="107"/>
        <v>#VALUE!</v>
      </c>
      <c r="BT57" s="1147">
        <f>VLOOKUP(AP57,'CROP FACTORS'!$C$5:$N$130,7,FALSE)</f>
        <v>6</v>
      </c>
      <c r="BU57" s="1148">
        <f>VLOOKUP(AP57,'CROP FACTORS'!$C$5:$P$130,8,FALSE)</f>
        <v>1</v>
      </c>
      <c r="BV57" s="1149">
        <f t="shared" si="108"/>
        <v>6.3298000000000005</v>
      </c>
      <c r="BW57" s="1150">
        <f t="shared" si="109"/>
        <v>0.94706834347486846</v>
      </c>
      <c r="BX57" s="1137">
        <f>VLOOKUP(AP57,'CROP FACTORS'!$C$5:$N$130,10,FALSE)</f>
        <v>16</v>
      </c>
      <c r="BY57" s="1138">
        <f t="shared" si="110"/>
        <v>170.02558720000002</v>
      </c>
      <c r="BZ57" s="956">
        <f t="shared" si="111"/>
        <v>0.01</v>
      </c>
      <c r="CA57" s="956">
        <f t="shared" si="112"/>
        <v>0.99</v>
      </c>
      <c r="CB57" s="1148">
        <f t="shared" si="113"/>
        <v>172.17173517443203</v>
      </c>
      <c r="CC57" s="1148">
        <f t="shared" si="114"/>
        <v>170.00858464128004</v>
      </c>
      <c r="CD57" s="956">
        <f t="shared" si="115"/>
        <v>140</v>
      </c>
      <c r="CE57" s="956">
        <f t="shared" si="116"/>
        <v>90000</v>
      </c>
      <c r="CF57" s="956">
        <f t="shared" si="117"/>
        <v>1</v>
      </c>
      <c r="CG57" s="956">
        <f t="shared" si="118"/>
        <v>0.02</v>
      </c>
      <c r="CH57" s="956">
        <f t="shared" si="119"/>
        <v>91147.5</v>
      </c>
      <c r="CI57" s="956">
        <f t="shared" si="120"/>
        <v>91800</v>
      </c>
      <c r="CJ57" s="1138">
        <f t="shared" si="121"/>
        <v>1.25</v>
      </c>
      <c r="CK57" s="1138">
        <f t="shared" si="122"/>
        <v>2.1</v>
      </c>
      <c r="CL57" s="1138">
        <f t="shared" si="123"/>
        <v>1.25</v>
      </c>
      <c r="CM57" s="1138">
        <f t="shared" si="124"/>
        <v>1.25</v>
      </c>
      <c r="CN57" s="1151">
        <f t="shared" si="125"/>
        <v>14.6</v>
      </c>
      <c r="CO57" s="1138">
        <f t="shared" si="126"/>
        <v>0.97675764218299888</v>
      </c>
      <c r="CP57" s="1138">
        <f t="shared" si="127"/>
        <v>0.97704295325915225</v>
      </c>
      <c r="CQ57" s="1152">
        <f t="shared" si="128"/>
        <v>0.97675764218299888</v>
      </c>
      <c r="CR57" s="1153">
        <f t="shared" si="129"/>
        <v>0.97704295325915225</v>
      </c>
      <c r="CS57" s="1137">
        <f t="shared" si="130"/>
        <v>0.79400000000000004</v>
      </c>
      <c r="CT57" s="956">
        <f t="shared" si="131"/>
        <v>88.025000000000006</v>
      </c>
      <c r="CU57" s="956">
        <f t="shared" si="132"/>
        <v>-12.061</v>
      </c>
      <c r="CV57" s="956">
        <f t="shared" si="133"/>
        <v>0</v>
      </c>
      <c r="CW57" s="956">
        <f t="shared" si="134"/>
        <v>9.3587152000000007</v>
      </c>
      <c r="CX57" s="956">
        <f t="shared" si="135"/>
        <v>-10.275524000000001</v>
      </c>
      <c r="CY57" s="1154">
        <f t="shared" si="136"/>
        <v>1.6904443975917727</v>
      </c>
      <c r="CZ57" s="1155">
        <f t="shared" si="137"/>
        <v>0.31506789853955242</v>
      </c>
      <c r="DA57" s="1137" t="e">
        <f>MIN(VLOOKUP(AP57,'CROP FACTORS'!$C$5:$N$130,2,FALSE),VLOOKUP(AQ57,'CROP FACTORS'!$C$5:$N$130,2,FALSE))</f>
        <v>#N/A</v>
      </c>
      <c r="DB57" s="956" t="e">
        <f>MIN(VLOOKUP(AP57,'CROP FACTORS'!$C$5:$N$130,4,FALSE),VLOOKUP(AQ57,'CROP FACTORS'!$C$5:$N$130,4,FALSE))</f>
        <v>#N/A</v>
      </c>
      <c r="DC57" s="1156" t="e">
        <f t="shared" si="138"/>
        <v>#N/A</v>
      </c>
      <c r="DD57" s="1138">
        <f t="shared" si="139"/>
        <v>1.07</v>
      </c>
      <c r="DE57" s="1157" t="str">
        <f t="shared" si="140"/>
        <v>.</v>
      </c>
      <c r="DF57" s="1138" t="e">
        <f t="shared" si="141"/>
        <v>#N/A</v>
      </c>
      <c r="DG57" s="1158" t="e">
        <f t="shared" si="142"/>
        <v>#N/A</v>
      </c>
      <c r="DH57" s="1159" t="str">
        <f t="shared" si="143"/>
        <v>.</v>
      </c>
      <c r="DI57" s="1153" t="e">
        <f t="shared" si="144"/>
        <v>#VALUE!</v>
      </c>
      <c r="DJ57" s="1133">
        <f t="shared" si="145"/>
        <v>5.8</v>
      </c>
      <c r="DK57" s="1160">
        <f t="shared" si="146"/>
        <v>2.9</v>
      </c>
      <c r="DL57" s="1134">
        <f t="shared" si="147"/>
        <v>2.1</v>
      </c>
      <c r="DM57" s="1161">
        <f t="shared" si="148"/>
        <v>198.87968216873105</v>
      </c>
      <c r="DN57" s="1144">
        <f t="shared" si="149"/>
        <v>52.142000000000003</v>
      </c>
      <c r="DO57" s="1162">
        <f t="shared" si="150"/>
        <v>1.0084693317981595</v>
      </c>
      <c r="DP57" s="1163">
        <f t="shared" si="151"/>
        <v>1</v>
      </c>
      <c r="DQ57" s="1133">
        <f t="shared" si="152"/>
        <v>1.0541</v>
      </c>
      <c r="DR57" s="1134">
        <f t="shared" si="153"/>
        <v>-9.8099999999999993E-3</v>
      </c>
      <c r="DS57" s="1164">
        <f t="shared" si="154"/>
        <v>84.064999999999998</v>
      </c>
      <c r="DT57" s="1146">
        <f t="shared" si="155"/>
        <v>0.59200756295093693</v>
      </c>
      <c r="DU57" s="1165">
        <f t="shared" si="156"/>
        <v>0.95559553081488946</v>
      </c>
      <c r="DV57" s="1166">
        <f t="shared" si="157"/>
        <v>1</v>
      </c>
      <c r="DW57" s="1166">
        <f t="shared" si="158"/>
        <v>0.99999855573685759</v>
      </c>
      <c r="DX57" s="1166"/>
      <c r="DY57" s="1166">
        <f t="shared" si="159"/>
        <v>0.94706834347486846</v>
      </c>
      <c r="DZ57" s="1166">
        <f t="shared" si="160"/>
        <v>0.97675764218299888</v>
      </c>
      <c r="EA57" s="1138"/>
      <c r="EB57" s="1166">
        <f t="shared" si="161"/>
        <v>0.31506789853955242</v>
      </c>
      <c r="EC57" s="1166"/>
      <c r="ED57" s="1138"/>
      <c r="EE57" s="1166">
        <f t="shared" si="162"/>
        <v>1</v>
      </c>
      <c r="EF57" s="1140">
        <f t="shared" si="163"/>
        <v>0.59200756295093693</v>
      </c>
      <c r="EG57" s="1159">
        <f t="shared" si="164"/>
        <v>6.7864955337001032</v>
      </c>
      <c r="EH57" s="1167">
        <f t="shared" si="165"/>
        <v>8</v>
      </c>
      <c r="EI57" s="1302">
        <f t="shared" si="166"/>
        <v>0.8483119417125129</v>
      </c>
      <c r="EJ57" s="1168">
        <f t="shared" si="167"/>
        <v>1.3150678985395525</v>
      </c>
      <c r="EK57" s="1169">
        <f t="shared" si="168"/>
        <v>2</v>
      </c>
      <c r="EL57" s="1170">
        <f t="shared" si="169"/>
        <v>0.65753394926977626</v>
      </c>
      <c r="EM57" s="1159">
        <f t="shared" si="170"/>
        <v>0.94706834347486846</v>
      </c>
      <c r="EN57" s="1167">
        <f t="shared" si="171"/>
        <v>1</v>
      </c>
      <c r="EO57" s="1171">
        <f t="shared" si="172"/>
        <v>0.94706834347486846</v>
      </c>
      <c r="EP57" s="1168">
        <f t="shared" si="173"/>
        <v>2.9555940865517472</v>
      </c>
      <c r="EQ57" s="1169">
        <f t="shared" si="174"/>
        <v>3</v>
      </c>
      <c r="ER57" s="1146">
        <f t="shared" si="175"/>
        <v>0.98519802885058239</v>
      </c>
      <c r="ES57" s="1159">
        <f t="shared" si="176"/>
        <v>1.5687652051339358</v>
      </c>
      <c r="ET57" s="1167">
        <f t="shared" si="177"/>
        <v>2</v>
      </c>
      <c r="EU57" s="1155">
        <f t="shared" si="178"/>
        <v>0.7843826025669679</v>
      </c>
      <c r="EV57" s="1159">
        <f t="shared" si="179"/>
        <v>2.5158335486088044</v>
      </c>
      <c r="EW57" s="1167">
        <f t="shared" si="180"/>
        <v>3</v>
      </c>
      <c r="EX57" s="1155">
        <f t="shared" si="181"/>
        <v>0.83861118286960146</v>
      </c>
    </row>
    <row r="58" spans="2:154">
      <c r="B58" s="1233" t="s">
        <v>1272</v>
      </c>
      <c r="C58" s="1219">
        <v>3</v>
      </c>
      <c r="D58" s="1230" t="s">
        <v>1269</v>
      </c>
      <c r="E58" s="1230" t="s">
        <v>1270</v>
      </c>
      <c r="F58" s="1231" t="s">
        <v>1271</v>
      </c>
      <c r="V58" s="1278">
        <v>15.1</v>
      </c>
      <c r="W58" s="1262">
        <v>1.1499999999999999</v>
      </c>
      <c r="X58" s="1283">
        <v>49.749999999999993</v>
      </c>
      <c r="Y58" s="1272">
        <v>637.70820021299289</v>
      </c>
      <c r="Z58" s="1255" t="s">
        <v>1058</v>
      </c>
      <c r="AA58" s="1277">
        <v>5.2233999999999998</v>
      </c>
      <c r="AB58" s="1261">
        <v>13.6</v>
      </c>
      <c r="AC58" s="1294">
        <v>1.6304729777215545</v>
      </c>
      <c r="AD58" s="1271" t="s">
        <v>1058</v>
      </c>
      <c r="AE58" s="1271" t="s">
        <v>1058</v>
      </c>
      <c r="AF58" s="1254">
        <v>193.71207822312132</v>
      </c>
      <c r="AG58" s="1282">
        <v>80.155000000000001</v>
      </c>
      <c r="AH58" s="1290">
        <v>4</v>
      </c>
      <c r="AI58" s="1290">
        <v>2</v>
      </c>
      <c r="AJ58" s="1290">
        <v>2</v>
      </c>
      <c r="AK58" s="1290">
        <v>1</v>
      </c>
      <c r="AL58" s="1290">
        <v>1</v>
      </c>
      <c r="AM58" s="1290">
        <v>2</v>
      </c>
      <c r="AN58" s="1290">
        <v>3</v>
      </c>
      <c r="AO58" s="1290">
        <v>2</v>
      </c>
      <c r="AP58" s="1253">
        <v>110</v>
      </c>
      <c r="AQ58" s="1290"/>
      <c r="AR58" s="1290">
        <v>2</v>
      </c>
      <c r="AS58" s="1290">
        <v>5</v>
      </c>
      <c r="AT58" s="1290">
        <v>2</v>
      </c>
      <c r="AU58" s="1290"/>
      <c r="AV58" s="1133">
        <f t="shared" si="84"/>
        <v>3.81</v>
      </c>
      <c r="AW58" s="1134">
        <f t="shared" si="85"/>
        <v>1.25</v>
      </c>
      <c r="AX58" s="1134">
        <f t="shared" si="86"/>
        <v>0.15</v>
      </c>
      <c r="AY58" s="1135">
        <f t="shared" si="87"/>
        <v>1.1499999999999999</v>
      </c>
      <c r="AZ58" s="1136">
        <f t="shared" si="88"/>
        <v>0.9156288240011109</v>
      </c>
      <c r="BA58" s="1137">
        <f t="shared" si="89"/>
        <v>0.89993809999999996</v>
      </c>
      <c r="BB58" s="956">
        <f t="shared" si="90"/>
        <v>1.06</v>
      </c>
      <c r="BC58" s="1138">
        <f t="shared" si="91"/>
        <v>1.1000000000000001</v>
      </c>
      <c r="BD58" s="1139">
        <f t="shared" si="92"/>
        <v>49.749999999999993</v>
      </c>
      <c r="BE58" s="1138">
        <f t="shared" si="93"/>
        <v>1.001345410983097</v>
      </c>
      <c r="BF58" s="1140">
        <f t="shared" si="94"/>
        <v>1.001345410983097</v>
      </c>
      <c r="BG58" s="1137">
        <f t="shared" si="95"/>
        <v>0.03</v>
      </c>
      <c r="BH58" s="956">
        <f t="shared" si="96"/>
        <v>1.35</v>
      </c>
      <c r="BI58" s="956">
        <f t="shared" si="97"/>
        <v>1.08</v>
      </c>
      <c r="BJ58" s="956">
        <f t="shared" si="98"/>
        <v>0</v>
      </c>
      <c r="BK58" s="956">
        <f t="shared" si="99"/>
        <v>1.08</v>
      </c>
      <c r="BL58" s="956">
        <f t="shared" si="100"/>
        <v>0</v>
      </c>
      <c r="BM58" s="1141">
        <f t="shared" si="101"/>
        <v>637.70820021299289</v>
      </c>
      <c r="BN58" s="1142">
        <f t="shared" si="102"/>
        <v>0.99999999996865441</v>
      </c>
      <c r="BO58" s="1143">
        <f t="shared" si="103"/>
        <v>0.43227500000000002</v>
      </c>
      <c r="BP58" s="1144">
        <f t="shared" si="104"/>
        <v>1</v>
      </c>
      <c r="BQ58" s="1134">
        <f t="shared" si="105"/>
        <v>0.9</v>
      </c>
      <c r="BR58" s="1145" t="str">
        <f t="shared" si="106"/>
        <v>.</v>
      </c>
      <c r="BS58" s="1146" t="e">
        <f t="shared" si="107"/>
        <v>#VALUE!</v>
      </c>
      <c r="BT58" s="1147">
        <f>VLOOKUP(AP58,'CROP FACTORS'!$C$5:$N$130,7,FALSE)</f>
        <v>6</v>
      </c>
      <c r="BU58" s="1148">
        <f>VLOOKUP(AP58,'CROP FACTORS'!$C$5:$P$130,8,FALSE)</f>
        <v>1</v>
      </c>
      <c r="BV58" s="1149">
        <f t="shared" si="108"/>
        <v>5.2233999999999998</v>
      </c>
      <c r="BW58" s="1150">
        <f t="shared" si="109"/>
        <v>0.73966804593744306</v>
      </c>
      <c r="BX58" s="1137">
        <f>VLOOKUP(AP58,'CROP FACTORS'!$C$5:$N$130,10,FALSE)</f>
        <v>16</v>
      </c>
      <c r="BY58" s="1138">
        <f t="shared" si="110"/>
        <v>170.02558720000002</v>
      </c>
      <c r="BZ58" s="956">
        <f t="shared" si="111"/>
        <v>0.01</v>
      </c>
      <c r="CA58" s="956">
        <f t="shared" si="112"/>
        <v>0.99</v>
      </c>
      <c r="CB58" s="1148">
        <f t="shared" si="113"/>
        <v>171.96132851027201</v>
      </c>
      <c r="CC58" s="1148">
        <f t="shared" si="114"/>
        <v>170.00858464128004</v>
      </c>
      <c r="CD58" s="956">
        <f t="shared" si="115"/>
        <v>140</v>
      </c>
      <c r="CE58" s="956">
        <f t="shared" si="116"/>
        <v>90000</v>
      </c>
      <c r="CF58" s="956">
        <f t="shared" si="117"/>
        <v>1</v>
      </c>
      <c r="CG58" s="956">
        <f t="shared" si="118"/>
        <v>0.02</v>
      </c>
      <c r="CH58" s="956">
        <f t="shared" si="119"/>
        <v>91035</v>
      </c>
      <c r="CI58" s="956">
        <f t="shared" si="120"/>
        <v>91800</v>
      </c>
      <c r="CJ58" s="1138">
        <f t="shared" si="121"/>
        <v>1.25</v>
      </c>
      <c r="CK58" s="1138">
        <f t="shared" si="122"/>
        <v>2.1</v>
      </c>
      <c r="CL58" s="1138">
        <f t="shared" si="123"/>
        <v>1.25</v>
      </c>
      <c r="CM58" s="1138">
        <f t="shared" si="124"/>
        <v>1.25</v>
      </c>
      <c r="CN58" s="1151">
        <f t="shared" si="125"/>
        <v>13.6</v>
      </c>
      <c r="CO58" s="1138">
        <f t="shared" si="126"/>
        <v>0.97131768170299149</v>
      </c>
      <c r="CP58" s="1138">
        <f t="shared" si="127"/>
        <v>0.97163415086416571</v>
      </c>
      <c r="CQ58" s="1152">
        <f t="shared" si="128"/>
        <v>0.97131768170299149</v>
      </c>
      <c r="CR58" s="1153">
        <f t="shared" si="129"/>
        <v>0.97163415086416571</v>
      </c>
      <c r="CS58" s="1137">
        <f t="shared" si="130"/>
        <v>0.79400000000000004</v>
      </c>
      <c r="CT58" s="956">
        <f t="shared" si="131"/>
        <v>88.025000000000006</v>
      </c>
      <c r="CU58" s="956">
        <f t="shared" si="132"/>
        <v>-12.061</v>
      </c>
      <c r="CV58" s="956">
        <f t="shared" si="133"/>
        <v>0</v>
      </c>
      <c r="CW58" s="956">
        <f t="shared" si="134"/>
        <v>9.3587152000000007</v>
      </c>
      <c r="CX58" s="956">
        <f t="shared" si="135"/>
        <v>-10.275524000000001</v>
      </c>
      <c r="CY58" s="1154">
        <f t="shared" si="136"/>
        <v>1.6304729777215545</v>
      </c>
      <c r="CZ58" s="1155">
        <f t="shared" si="137"/>
        <v>0.37069188880927895</v>
      </c>
      <c r="DA58" s="1137" t="e">
        <f>MIN(VLOOKUP(AP58,'CROP FACTORS'!$C$5:$N$130,2,FALSE),VLOOKUP(AQ58,'CROP FACTORS'!$C$5:$N$130,2,FALSE))</f>
        <v>#N/A</v>
      </c>
      <c r="DB58" s="956" t="e">
        <f>MIN(VLOOKUP(AP58,'CROP FACTORS'!$C$5:$N$130,4,FALSE),VLOOKUP(AQ58,'CROP FACTORS'!$C$5:$N$130,4,FALSE))</f>
        <v>#N/A</v>
      </c>
      <c r="DC58" s="1156" t="e">
        <f t="shared" si="138"/>
        <v>#N/A</v>
      </c>
      <c r="DD58" s="1138">
        <f t="shared" si="139"/>
        <v>1.07</v>
      </c>
      <c r="DE58" s="1157" t="str">
        <f t="shared" si="140"/>
        <v>.</v>
      </c>
      <c r="DF58" s="1138" t="e">
        <f t="shared" si="141"/>
        <v>#N/A</v>
      </c>
      <c r="DG58" s="1158" t="e">
        <f t="shared" si="142"/>
        <v>#N/A</v>
      </c>
      <c r="DH58" s="1159" t="str">
        <f t="shared" si="143"/>
        <v>.</v>
      </c>
      <c r="DI58" s="1153" t="e">
        <f t="shared" si="144"/>
        <v>#VALUE!</v>
      </c>
      <c r="DJ58" s="1133">
        <f t="shared" si="145"/>
        <v>5.8</v>
      </c>
      <c r="DK58" s="1160">
        <f t="shared" si="146"/>
        <v>2.9</v>
      </c>
      <c r="DL58" s="1134">
        <f t="shared" si="147"/>
        <v>2.1</v>
      </c>
      <c r="DM58" s="1161">
        <f t="shared" si="148"/>
        <v>193.71207822312132</v>
      </c>
      <c r="DN58" s="1144">
        <f t="shared" si="149"/>
        <v>52.142000000000003</v>
      </c>
      <c r="DO58" s="1162">
        <f t="shared" si="150"/>
        <v>1.0079969219429161</v>
      </c>
      <c r="DP58" s="1163">
        <f t="shared" si="151"/>
        <v>1</v>
      </c>
      <c r="DQ58" s="1133">
        <f t="shared" si="152"/>
        <v>1.0541</v>
      </c>
      <c r="DR58" s="1134">
        <f t="shared" si="153"/>
        <v>-9.8099999999999993E-3</v>
      </c>
      <c r="DS58" s="1164">
        <f t="shared" si="154"/>
        <v>80.155000000000001</v>
      </c>
      <c r="DT58" s="1146">
        <f t="shared" si="155"/>
        <v>0.57393871817799647</v>
      </c>
      <c r="DU58" s="1165">
        <f t="shared" si="156"/>
        <v>0.9156288240011109</v>
      </c>
      <c r="DV58" s="1166">
        <f t="shared" si="157"/>
        <v>1.001345410983097</v>
      </c>
      <c r="DW58" s="1166">
        <f t="shared" si="158"/>
        <v>0.99999999996865441</v>
      </c>
      <c r="DX58" s="1166"/>
      <c r="DY58" s="1166">
        <f t="shared" si="159"/>
        <v>0.73966804593744306</v>
      </c>
      <c r="DZ58" s="1166">
        <f t="shared" si="160"/>
        <v>0.97131768170299149</v>
      </c>
      <c r="EA58" s="1138"/>
      <c r="EB58" s="1166">
        <f t="shared" si="161"/>
        <v>0.37069188880927895</v>
      </c>
      <c r="EC58" s="1166"/>
      <c r="ED58" s="1138"/>
      <c r="EE58" s="1166">
        <f t="shared" si="162"/>
        <v>1</v>
      </c>
      <c r="EF58" s="1140">
        <f t="shared" si="163"/>
        <v>0.57393871817799647</v>
      </c>
      <c r="EG58" s="1159">
        <f t="shared" si="164"/>
        <v>6.572590569580572</v>
      </c>
      <c r="EH58" s="1167">
        <f t="shared" si="165"/>
        <v>8</v>
      </c>
      <c r="EI58" s="1302">
        <f t="shared" si="166"/>
        <v>0.8215738211975715</v>
      </c>
      <c r="EJ58" s="1168">
        <f t="shared" si="167"/>
        <v>1.372037299792376</v>
      </c>
      <c r="EK58" s="1169">
        <f t="shared" si="168"/>
        <v>2</v>
      </c>
      <c r="EL58" s="1170">
        <f t="shared" si="169"/>
        <v>0.68601864989618799</v>
      </c>
      <c r="EM58" s="1159">
        <f t="shared" si="170"/>
        <v>0.73966804593744306</v>
      </c>
      <c r="EN58" s="1167">
        <f t="shared" si="171"/>
        <v>1</v>
      </c>
      <c r="EO58" s="1171">
        <f t="shared" si="172"/>
        <v>0.73966804593744306</v>
      </c>
      <c r="EP58" s="1168">
        <f t="shared" si="173"/>
        <v>2.9156288239697652</v>
      </c>
      <c r="EQ58" s="1169">
        <f t="shared" si="174"/>
        <v>3</v>
      </c>
      <c r="ER58" s="1146">
        <f t="shared" si="175"/>
        <v>0.97187627465658843</v>
      </c>
      <c r="ES58" s="1159">
        <f t="shared" si="176"/>
        <v>1.5452563998809881</v>
      </c>
      <c r="ET58" s="1167">
        <f t="shared" si="177"/>
        <v>2</v>
      </c>
      <c r="EU58" s="1155">
        <f t="shared" si="178"/>
        <v>0.77262819994049403</v>
      </c>
      <c r="EV58" s="1159">
        <f t="shared" si="179"/>
        <v>2.2849244458184312</v>
      </c>
      <c r="EW58" s="1167">
        <f t="shared" si="180"/>
        <v>3</v>
      </c>
      <c r="EX58" s="1155">
        <f t="shared" si="181"/>
        <v>0.76164148193947712</v>
      </c>
    </row>
    <row r="59" spans="2:154">
      <c r="B59" s="1233" t="s">
        <v>1272</v>
      </c>
      <c r="C59" s="1219">
        <v>4</v>
      </c>
      <c r="D59" s="1230" t="s">
        <v>1269</v>
      </c>
      <c r="E59" s="1230" t="s">
        <v>1270</v>
      </c>
      <c r="F59" s="1231" t="s">
        <v>1271</v>
      </c>
      <c r="V59" s="1278">
        <v>15</v>
      </c>
      <c r="W59" s="1262">
        <v>1.01</v>
      </c>
      <c r="X59" s="1283">
        <v>57.666666666666664</v>
      </c>
      <c r="Y59" s="1272">
        <v>664.6255144032923</v>
      </c>
      <c r="Z59" s="1255" t="s">
        <v>1058</v>
      </c>
      <c r="AA59" s="1277">
        <v>6.1454000000000004</v>
      </c>
      <c r="AB59" s="1261">
        <v>16.8</v>
      </c>
      <c r="AC59" s="1294">
        <v>1.6077494319113548</v>
      </c>
      <c r="AD59" s="1271" t="s">
        <v>1058</v>
      </c>
      <c r="AE59" s="1271" t="s">
        <v>1058</v>
      </c>
      <c r="AF59" s="1254">
        <v>210.45783192894561</v>
      </c>
      <c r="AG59" s="1282">
        <v>171.64899999999997</v>
      </c>
      <c r="AH59" s="1290">
        <v>4</v>
      </c>
      <c r="AI59" s="1290">
        <v>2</v>
      </c>
      <c r="AJ59" s="1290">
        <v>2</v>
      </c>
      <c r="AK59" s="1290">
        <v>1</v>
      </c>
      <c r="AL59" s="1290">
        <v>1</v>
      </c>
      <c r="AM59" s="1290">
        <v>2</v>
      </c>
      <c r="AN59" s="1290">
        <v>3</v>
      </c>
      <c r="AO59" s="1290">
        <v>2</v>
      </c>
      <c r="AP59" s="1253">
        <v>110</v>
      </c>
      <c r="AQ59" s="1290"/>
      <c r="AR59" s="1290">
        <v>2</v>
      </c>
      <c r="AS59" s="1290">
        <v>5</v>
      </c>
      <c r="AT59" s="1290">
        <v>2</v>
      </c>
      <c r="AU59" s="1290"/>
      <c r="AV59" s="1133">
        <f t="shared" si="84"/>
        <v>3.81</v>
      </c>
      <c r="AW59" s="1134">
        <f t="shared" si="85"/>
        <v>1.25</v>
      </c>
      <c r="AX59" s="1134">
        <f t="shared" si="86"/>
        <v>0.15</v>
      </c>
      <c r="AY59" s="1135">
        <f t="shared" si="87"/>
        <v>1.01</v>
      </c>
      <c r="AZ59" s="1136">
        <f t="shared" si="88"/>
        <v>0.83446701587652938</v>
      </c>
      <c r="BA59" s="1137">
        <f t="shared" si="89"/>
        <v>0.89993809999999996</v>
      </c>
      <c r="BB59" s="956">
        <f t="shared" si="90"/>
        <v>1.06</v>
      </c>
      <c r="BC59" s="1138">
        <f t="shared" si="91"/>
        <v>1.1000000000000001</v>
      </c>
      <c r="BD59" s="1139">
        <f t="shared" si="92"/>
        <v>57.666666666666664</v>
      </c>
      <c r="BE59" s="1138">
        <f t="shared" si="93"/>
        <v>1.0004095231543655</v>
      </c>
      <c r="BF59" s="1140">
        <f t="shared" si="94"/>
        <v>1</v>
      </c>
      <c r="BG59" s="1137">
        <f t="shared" si="95"/>
        <v>0.03</v>
      </c>
      <c r="BH59" s="956">
        <f t="shared" si="96"/>
        <v>1.35</v>
      </c>
      <c r="BI59" s="956">
        <f t="shared" si="97"/>
        <v>1.08</v>
      </c>
      <c r="BJ59" s="956">
        <f t="shared" si="98"/>
        <v>0</v>
      </c>
      <c r="BK59" s="956">
        <f t="shared" si="99"/>
        <v>1.08</v>
      </c>
      <c r="BL59" s="956">
        <f t="shared" si="100"/>
        <v>0</v>
      </c>
      <c r="BM59" s="1141">
        <f t="shared" si="101"/>
        <v>664.6255144032923</v>
      </c>
      <c r="BN59" s="1142">
        <f t="shared" si="102"/>
        <v>0.99999999999034284</v>
      </c>
      <c r="BO59" s="1143">
        <f t="shared" si="103"/>
        <v>0.43227500000000002</v>
      </c>
      <c r="BP59" s="1144">
        <f t="shared" si="104"/>
        <v>1</v>
      </c>
      <c r="BQ59" s="1134">
        <f t="shared" si="105"/>
        <v>0.9</v>
      </c>
      <c r="BR59" s="1145" t="str">
        <f t="shared" si="106"/>
        <v>.</v>
      </c>
      <c r="BS59" s="1146" t="e">
        <f t="shared" si="107"/>
        <v>#VALUE!</v>
      </c>
      <c r="BT59" s="1147">
        <f>VLOOKUP(AP59,'CROP FACTORS'!$C$5:$N$130,7,FALSE)</f>
        <v>6</v>
      </c>
      <c r="BU59" s="1148">
        <f>VLOOKUP(AP59,'CROP FACTORS'!$C$5:$P$130,8,FALSE)</f>
        <v>1</v>
      </c>
      <c r="BV59" s="1149">
        <f t="shared" si="108"/>
        <v>6.1454000000000004</v>
      </c>
      <c r="BW59" s="1150">
        <f t="shared" si="109"/>
        <v>0.98948509224545245</v>
      </c>
      <c r="BX59" s="1137">
        <f>VLOOKUP(AP59,'CROP FACTORS'!$C$5:$N$130,10,FALSE)</f>
        <v>16</v>
      </c>
      <c r="BY59" s="1138">
        <f t="shared" si="110"/>
        <v>170.02558720000002</v>
      </c>
      <c r="BZ59" s="956">
        <f t="shared" si="111"/>
        <v>0.01</v>
      </c>
      <c r="CA59" s="956">
        <f t="shared" si="112"/>
        <v>0.99</v>
      </c>
      <c r="CB59" s="1148">
        <f t="shared" si="113"/>
        <v>171.72567304641282</v>
      </c>
      <c r="CC59" s="1148">
        <f t="shared" si="114"/>
        <v>170.00858464128004</v>
      </c>
      <c r="CD59" s="956">
        <f t="shared" si="115"/>
        <v>140</v>
      </c>
      <c r="CE59" s="956">
        <f t="shared" si="116"/>
        <v>90000</v>
      </c>
      <c r="CF59" s="956">
        <f t="shared" si="117"/>
        <v>1</v>
      </c>
      <c r="CG59" s="956">
        <f t="shared" si="118"/>
        <v>0.02</v>
      </c>
      <c r="CH59" s="956">
        <f t="shared" si="119"/>
        <v>90909</v>
      </c>
      <c r="CI59" s="956">
        <f t="shared" si="120"/>
        <v>91800</v>
      </c>
      <c r="CJ59" s="1138">
        <f t="shared" si="121"/>
        <v>1.25</v>
      </c>
      <c r="CK59" s="1138">
        <f t="shared" si="122"/>
        <v>2.1</v>
      </c>
      <c r="CL59" s="1138">
        <f t="shared" si="123"/>
        <v>1.25</v>
      </c>
      <c r="CM59" s="1138">
        <f t="shared" si="124"/>
        <v>1.25</v>
      </c>
      <c r="CN59" s="1151">
        <f t="shared" si="125"/>
        <v>16.8</v>
      </c>
      <c r="CO59" s="1138">
        <f t="shared" si="126"/>
        <v>0.98478811944622424</v>
      </c>
      <c r="CP59" s="1138">
        <f t="shared" si="127"/>
        <v>0.98493793232074123</v>
      </c>
      <c r="CQ59" s="1152">
        <f t="shared" si="128"/>
        <v>0.98478811944622424</v>
      </c>
      <c r="CR59" s="1153">
        <f t="shared" si="129"/>
        <v>0.98493793232074123</v>
      </c>
      <c r="CS59" s="1137">
        <f t="shared" si="130"/>
        <v>0.79400000000000004</v>
      </c>
      <c r="CT59" s="956">
        <f t="shared" si="131"/>
        <v>88.025000000000006</v>
      </c>
      <c r="CU59" s="956">
        <f t="shared" si="132"/>
        <v>-12.061</v>
      </c>
      <c r="CV59" s="956">
        <f t="shared" si="133"/>
        <v>0</v>
      </c>
      <c r="CW59" s="956">
        <f t="shared" si="134"/>
        <v>9.3587152000000007</v>
      </c>
      <c r="CX59" s="956">
        <f t="shared" si="135"/>
        <v>-10.275524000000001</v>
      </c>
      <c r="CY59" s="1154">
        <f t="shared" si="136"/>
        <v>1.6077494319113548</v>
      </c>
      <c r="CZ59" s="1155">
        <f t="shared" si="137"/>
        <v>0.39790648460512978</v>
      </c>
      <c r="DA59" s="1137" t="e">
        <f>MIN(VLOOKUP(AP59,'CROP FACTORS'!$C$5:$N$130,2,FALSE),VLOOKUP(AQ59,'CROP FACTORS'!$C$5:$N$130,2,FALSE))</f>
        <v>#N/A</v>
      </c>
      <c r="DB59" s="956" t="e">
        <f>MIN(VLOOKUP(AP59,'CROP FACTORS'!$C$5:$N$130,4,FALSE),VLOOKUP(AQ59,'CROP FACTORS'!$C$5:$N$130,4,FALSE))</f>
        <v>#N/A</v>
      </c>
      <c r="DC59" s="1156" t="e">
        <f t="shared" si="138"/>
        <v>#N/A</v>
      </c>
      <c r="DD59" s="1138">
        <f t="shared" si="139"/>
        <v>1.07</v>
      </c>
      <c r="DE59" s="1157" t="str">
        <f t="shared" si="140"/>
        <v>.</v>
      </c>
      <c r="DF59" s="1138" t="e">
        <f t="shared" si="141"/>
        <v>#N/A</v>
      </c>
      <c r="DG59" s="1158" t="e">
        <f t="shared" si="142"/>
        <v>#N/A</v>
      </c>
      <c r="DH59" s="1159" t="str">
        <f t="shared" si="143"/>
        <v>.</v>
      </c>
      <c r="DI59" s="1153" t="e">
        <f t="shared" si="144"/>
        <v>#VALUE!</v>
      </c>
      <c r="DJ59" s="1133">
        <f t="shared" si="145"/>
        <v>5.8</v>
      </c>
      <c r="DK59" s="1160">
        <f t="shared" si="146"/>
        <v>2.9</v>
      </c>
      <c r="DL59" s="1134">
        <f t="shared" si="147"/>
        <v>2.1</v>
      </c>
      <c r="DM59" s="1161">
        <f t="shared" si="148"/>
        <v>210.45783192894561</v>
      </c>
      <c r="DN59" s="1144">
        <f t="shared" si="149"/>
        <v>52.142000000000003</v>
      </c>
      <c r="DO59" s="1162">
        <f t="shared" si="150"/>
        <v>1.0091624852599612</v>
      </c>
      <c r="DP59" s="1163">
        <f t="shared" si="151"/>
        <v>1</v>
      </c>
      <c r="DQ59" s="1133">
        <f t="shared" si="152"/>
        <v>1.0541</v>
      </c>
      <c r="DR59" s="1134">
        <f t="shared" si="153"/>
        <v>-9.8099999999999993E-3</v>
      </c>
      <c r="DS59" s="1164">
        <f t="shared" si="154"/>
        <v>171.64899999999997</v>
      </c>
      <c r="DT59" s="1146">
        <f t="shared" si="155"/>
        <v>0.85840331965851557</v>
      </c>
      <c r="DU59" s="1165">
        <f t="shared" si="156"/>
        <v>0.83446701587652938</v>
      </c>
      <c r="DV59" s="1166">
        <f t="shared" si="157"/>
        <v>1</v>
      </c>
      <c r="DW59" s="1166">
        <f t="shared" si="158"/>
        <v>0.99999999999034284</v>
      </c>
      <c r="DX59" s="1166"/>
      <c r="DY59" s="1166">
        <f t="shared" si="159"/>
        <v>0.98948509224545245</v>
      </c>
      <c r="DZ59" s="1166">
        <f t="shared" si="160"/>
        <v>0.98478811944622424</v>
      </c>
      <c r="EA59" s="1138"/>
      <c r="EB59" s="1166">
        <f t="shared" si="161"/>
        <v>0.39790648460512978</v>
      </c>
      <c r="EC59" s="1166"/>
      <c r="ED59" s="1138"/>
      <c r="EE59" s="1166">
        <f t="shared" si="162"/>
        <v>1</v>
      </c>
      <c r="EF59" s="1140">
        <f t="shared" si="163"/>
        <v>0.85840331965851557</v>
      </c>
      <c r="EG59" s="1159">
        <f t="shared" si="164"/>
        <v>7.0650500318221949</v>
      </c>
      <c r="EH59" s="1167">
        <f t="shared" si="165"/>
        <v>8</v>
      </c>
      <c r="EI59" s="1302">
        <f t="shared" si="166"/>
        <v>0.88313125397777437</v>
      </c>
      <c r="EJ59" s="1168">
        <f t="shared" si="167"/>
        <v>1.3979064846051297</v>
      </c>
      <c r="EK59" s="1169">
        <f t="shared" si="168"/>
        <v>2</v>
      </c>
      <c r="EL59" s="1170">
        <f t="shared" si="169"/>
        <v>0.69895324230256484</v>
      </c>
      <c r="EM59" s="1159">
        <f t="shared" si="170"/>
        <v>0.98948509224545245</v>
      </c>
      <c r="EN59" s="1167">
        <f t="shared" si="171"/>
        <v>1</v>
      </c>
      <c r="EO59" s="1171">
        <f t="shared" si="172"/>
        <v>0.98948509224545245</v>
      </c>
      <c r="EP59" s="1168">
        <f t="shared" si="173"/>
        <v>2.8344670158668723</v>
      </c>
      <c r="EQ59" s="1169">
        <f t="shared" si="174"/>
        <v>3</v>
      </c>
      <c r="ER59" s="1146">
        <f t="shared" si="175"/>
        <v>0.94482233862229081</v>
      </c>
      <c r="ES59" s="1159">
        <f t="shared" si="176"/>
        <v>1.8431914391047397</v>
      </c>
      <c r="ET59" s="1167">
        <f t="shared" si="177"/>
        <v>2</v>
      </c>
      <c r="EU59" s="1155">
        <f t="shared" si="178"/>
        <v>0.92159571955236985</v>
      </c>
      <c r="EV59" s="1159">
        <f t="shared" si="179"/>
        <v>2.832676531350192</v>
      </c>
      <c r="EW59" s="1167">
        <f t="shared" si="180"/>
        <v>3</v>
      </c>
      <c r="EX59" s="1155">
        <f t="shared" si="181"/>
        <v>0.94422551045006398</v>
      </c>
    </row>
    <row r="60" spans="2:154">
      <c r="B60" s="1233" t="s">
        <v>1272</v>
      </c>
      <c r="C60" s="1219">
        <v>5</v>
      </c>
      <c r="D60" s="1230" t="s">
        <v>1269</v>
      </c>
      <c r="E60" s="1230" t="s">
        <v>1270</v>
      </c>
      <c r="F60" s="1231" t="s">
        <v>1271</v>
      </c>
      <c r="V60" s="1278">
        <v>12.6</v>
      </c>
      <c r="W60" s="1262">
        <v>0.93250000000000011</v>
      </c>
      <c r="X60" s="1283">
        <v>49.000000000000021</v>
      </c>
      <c r="Y60" s="1272">
        <v>672.35257985257965</v>
      </c>
      <c r="Z60" s="1255" t="s">
        <v>1058</v>
      </c>
      <c r="AA60" s="1277">
        <v>6.1454000000000004</v>
      </c>
      <c r="AB60" s="1261">
        <v>23.2</v>
      </c>
      <c r="AC60" s="1294">
        <v>1.7410452831072691</v>
      </c>
      <c r="AD60" s="1271" t="s">
        <v>1058</v>
      </c>
      <c r="AE60" s="1271" t="s">
        <v>1058</v>
      </c>
      <c r="AF60" s="1254">
        <v>238.3886211356336</v>
      </c>
      <c r="AG60" s="1282">
        <v>114.172</v>
      </c>
      <c r="AH60" s="1290">
        <v>4</v>
      </c>
      <c r="AI60" s="1290">
        <v>2</v>
      </c>
      <c r="AJ60" s="1290">
        <v>2</v>
      </c>
      <c r="AK60" s="1290">
        <v>1</v>
      </c>
      <c r="AL60" s="1290">
        <v>1</v>
      </c>
      <c r="AM60" s="1290">
        <v>2</v>
      </c>
      <c r="AN60" s="1290">
        <v>3</v>
      </c>
      <c r="AO60" s="1290">
        <v>2</v>
      </c>
      <c r="AP60" s="1253">
        <v>110</v>
      </c>
      <c r="AQ60" s="1290"/>
      <c r="AR60" s="1290">
        <v>2</v>
      </c>
      <c r="AS60" s="1290">
        <v>5</v>
      </c>
      <c r="AT60" s="1290">
        <v>2</v>
      </c>
      <c r="AU60" s="1290"/>
      <c r="AV60" s="1133">
        <f t="shared" si="84"/>
        <v>3.81</v>
      </c>
      <c r="AW60" s="1134">
        <f t="shared" si="85"/>
        <v>1.25</v>
      </c>
      <c r="AX60" s="1134">
        <f t="shared" si="86"/>
        <v>0.15</v>
      </c>
      <c r="AY60" s="1135">
        <f t="shared" si="87"/>
        <v>0.93250000000000011</v>
      </c>
      <c r="AZ60" s="1136">
        <f t="shared" si="88"/>
        <v>0.76730663140284605</v>
      </c>
      <c r="BA60" s="1137">
        <f t="shared" si="89"/>
        <v>0.89993809999999996</v>
      </c>
      <c r="BB60" s="956">
        <f t="shared" si="90"/>
        <v>1.06</v>
      </c>
      <c r="BC60" s="1138">
        <f t="shared" si="91"/>
        <v>1.1000000000000001</v>
      </c>
      <c r="BD60" s="1139">
        <f t="shared" si="92"/>
        <v>49.000000000000021</v>
      </c>
      <c r="BE60" s="1138">
        <f t="shared" si="93"/>
        <v>0.99919011302840566</v>
      </c>
      <c r="BF60" s="1140">
        <f t="shared" si="94"/>
        <v>0.99919011302840566</v>
      </c>
      <c r="BG60" s="1137">
        <f t="shared" si="95"/>
        <v>0.03</v>
      </c>
      <c r="BH60" s="956">
        <f t="shared" si="96"/>
        <v>1.35</v>
      </c>
      <c r="BI60" s="956">
        <f t="shared" si="97"/>
        <v>1.08</v>
      </c>
      <c r="BJ60" s="956">
        <f t="shared" si="98"/>
        <v>0</v>
      </c>
      <c r="BK60" s="956">
        <f t="shared" si="99"/>
        <v>1.08</v>
      </c>
      <c r="BL60" s="956">
        <f t="shared" si="100"/>
        <v>0</v>
      </c>
      <c r="BM60" s="1141">
        <f t="shared" si="101"/>
        <v>672.35257985257965</v>
      </c>
      <c r="BN60" s="1142">
        <f t="shared" si="102"/>
        <v>0.9999999999931124</v>
      </c>
      <c r="BO60" s="1143">
        <f t="shared" si="103"/>
        <v>0.43227500000000002</v>
      </c>
      <c r="BP60" s="1144">
        <f t="shared" si="104"/>
        <v>1</v>
      </c>
      <c r="BQ60" s="1134">
        <f t="shared" si="105"/>
        <v>0.9</v>
      </c>
      <c r="BR60" s="1145" t="str">
        <f t="shared" si="106"/>
        <v>.</v>
      </c>
      <c r="BS60" s="1146" t="e">
        <f t="shared" si="107"/>
        <v>#VALUE!</v>
      </c>
      <c r="BT60" s="1147">
        <f>VLOOKUP(AP60,'CROP FACTORS'!$C$5:$N$130,7,FALSE)</f>
        <v>6</v>
      </c>
      <c r="BU60" s="1148">
        <f>VLOOKUP(AP60,'CROP FACTORS'!$C$5:$P$130,8,FALSE)</f>
        <v>1</v>
      </c>
      <c r="BV60" s="1149">
        <f t="shared" si="108"/>
        <v>6.1454000000000004</v>
      </c>
      <c r="BW60" s="1150">
        <f t="shared" si="109"/>
        <v>0.98948509224545245</v>
      </c>
      <c r="BX60" s="1137">
        <f>VLOOKUP(AP60,'CROP FACTORS'!$C$5:$N$130,10,FALSE)</f>
        <v>16</v>
      </c>
      <c r="BY60" s="1138">
        <f t="shared" si="110"/>
        <v>170.02558720000002</v>
      </c>
      <c r="BZ60" s="956">
        <f t="shared" si="111"/>
        <v>0.01</v>
      </c>
      <c r="CA60" s="956">
        <f t="shared" si="112"/>
        <v>0.99</v>
      </c>
      <c r="CB60" s="1148">
        <f t="shared" si="113"/>
        <v>171.59522091463361</v>
      </c>
      <c r="CC60" s="1148">
        <f t="shared" si="114"/>
        <v>170.00858464128004</v>
      </c>
      <c r="CD60" s="956">
        <f t="shared" si="115"/>
        <v>140</v>
      </c>
      <c r="CE60" s="956">
        <f t="shared" si="116"/>
        <v>90000</v>
      </c>
      <c r="CF60" s="956">
        <f t="shared" si="117"/>
        <v>1</v>
      </c>
      <c r="CG60" s="956">
        <f t="shared" si="118"/>
        <v>0.02</v>
      </c>
      <c r="CH60" s="956">
        <f t="shared" si="119"/>
        <v>90839.25</v>
      </c>
      <c r="CI60" s="956">
        <f t="shared" si="120"/>
        <v>91800</v>
      </c>
      <c r="CJ60" s="1138">
        <f t="shared" si="121"/>
        <v>1.25</v>
      </c>
      <c r="CK60" s="1138">
        <f t="shared" si="122"/>
        <v>2.1</v>
      </c>
      <c r="CL60" s="1138">
        <f t="shared" si="123"/>
        <v>1.25</v>
      </c>
      <c r="CM60" s="1138">
        <f t="shared" si="124"/>
        <v>1.25</v>
      </c>
      <c r="CN60" s="1151">
        <f t="shared" si="125"/>
        <v>23.2</v>
      </c>
      <c r="CO60" s="1138">
        <f t="shared" si="126"/>
        <v>1</v>
      </c>
      <c r="CP60" s="1138">
        <f t="shared" si="127"/>
        <v>1</v>
      </c>
      <c r="CQ60" s="1152">
        <f t="shared" si="128"/>
        <v>1</v>
      </c>
      <c r="CR60" s="1153">
        <f t="shared" si="129"/>
        <v>1</v>
      </c>
      <c r="CS60" s="1137">
        <f t="shared" si="130"/>
        <v>0.79400000000000004</v>
      </c>
      <c r="CT60" s="956">
        <f t="shared" si="131"/>
        <v>88.025000000000006</v>
      </c>
      <c r="CU60" s="956">
        <f t="shared" si="132"/>
        <v>-12.061</v>
      </c>
      <c r="CV60" s="956">
        <f t="shared" si="133"/>
        <v>0</v>
      </c>
      <c r="CW60" s="956">
        <f t="shared" si="134"/>
        <v>9.3587152000000007</v>
      </c>
      <c r="CX60" s="956">
        <f t="shared" si="135"/>
        <v>-10.275524000000001</v>
      </c>
      <c r="CY60" s="1154">
        <f t="shared" si="136"/>
        <v>1.7410452831072691</v>
      </c>
      <c r="CZ60" s="1155">
        <f t="shared" si="137"/>
        <v>0.28249233398520002</v>
      </c>
      <c r="DA60" s="1137" t="e">
        <f>MIN(VLOOKUP(AP60,'CROP FACTORS'!$C$5:$N$130,2,FALSE),VLOOKUP(AQ60,'CROP FACTORS'!$C$5:$N$130,2,FALSE))</f>
        <v>#N/A</v>
      </c>
      <c r="DB60" s="956" t="e">
        <f>MIN(VLOOKUP(AP60,'CROP FACTORS'!$C$5:$N$130,4,FALSE),VLOOKUP(AQ60,'CROP FACTORS'!$C$5:$N$130,4,FALSE))</f>
        <v>#N/A</v>
      </c>
      <c r="DC60" s="1156" t="e">
        <f t="shared" si="138"/>
        <v>#N/A</v>
      </c>
      <c r="DD60" s="1138">
        <f t="shared" si="139"/>
        <v>1.07</v>
      </c>
      <c r="DE60" s="1157" t="str">
        <f t="shared" si="140"/>
        <v>.</v>
      </c>
      <c r="DF60" s="1138" t="e">
        <f t="shared" si="141"/>
        <v>#N/A</v>
      </c>
      <c r="DG60" s="1158" t="e">
        <f t="shared" si="142"/>
        <v>#N/A</v>
      </c>
      <c r="DH60" s="1159" t="str">
        <f t="shared" si="143"/>
        <v>.</v>
      </c>
      <c r="DI60" s="1153" t="e">
        <f t="shared" si="144"/>
        <v>#VALUE!</v>
      </c>
      <c r="DJ60" s="1133">
        <f t="shared" si="145"/>
        <v>5.8</v>
      </c>
      <c r="DK60" s="1160">
        <f t="shared" si="146"/>
        <v>2.9</v>
      </c>
      <c r="DL60" s="1134">
        <f t="shared" si="147"/>
        <v>2.1</v>
      </c>
      <c r="DM60" s="1161">
        <f t="shared" si="148"/>
        <v>238.3886211356336</v>
      </c>
      <c r="DN60" s="1144">
        <f t="shared" si="149"/>
        <v>52.142000000000003</v>
      </c>
      <c r="DO60" s="1162">
        <f t="shared" si="150"/>
        <v>1.0098046666080132</v>
      </c>
      <c r="DP60" s="1163">
        <f t="shared" si="151"/>
        <v>1</v>
      </c>
      <c r="DQ60" s="1133">
        <f t="shared" si="152"/>
        <v>1.0541</v>
      </c>
      <c r="DR60" s="1134">
        <f t="shared" si="153"/>
        <v>-9.8099999999999993E-3</v>
      </c>
      <c r="DS60" s="1164">
        <f t="shared" si="154"/>
        <v>114.172</v>
      </c>
      <c r="DT60" s="1146">
        <f t="shared" si="155"/>
        <v>0.71017786456894383</v>
      </c>
      <c r="DU60" s="1165">
        <f t="shared" si="156"/>
        <v>0.76730663140284605</v>
      </c>
      <c r="DV60" s="1166">
        <f t="shared" si="157"/>
        <v>0.99919011302840566</v>
      </c>
      <c r="DW60" s="1166">
        <f t="shared" si="158"/>
        <v>0.9999999999931124</v>
      </c>
      <c r="DX60" s="1166"/>
      <c r="DY60" s="1166">
        <f t="shared" si="159"/>
        <v>0.98948509224545245</v>
      </c>
      <c r="DZ60" s="1166">
        <f t="shared" si="160"/>
        <v>1</v>
      </c>
      <c r="EA60" s="1138"/>
      <c r="EB60" s="1166">
        <f t="shared" si="161"/>
        <v>0.28249233398520002</v>
      </c>
      <c r="EC60" s="1166"/>
      <c r="ED60" s="1138"/>
      <c r="EE60" s="1166">
        <f t="shared" si="162"/>
        <v>1</v>
      </c>
      <c r="EF60" s="1140">
        <f t="shared" si="163"/>
        <v>0.71017786456894383</v>
      </c>
      <c r="EG60" s="1159">
        <f t="shared" si="164"/>
        <v>6.7486520352239605</v>
      </c>
      <c r="EH60" s="1167">
        <f t="shared" si="165"/>
        <v>8</v>
      </c>
      <c r="EI60" s="1302">
        <f t="shared" si="166"/>
        <v>0.84358150440299506</v>
      </c>
      <c r="EJ60" s="1168">
        <f t="shared" si="167"/>
        <v>1.2816824470136057</v>
      </c>
      <c r="EK60" s="1169">
        <f t="shared" si="168"/>
        <v>2</v>
      </c>
      <c r="EL60" s="1170">
        <f t="shared" si="169"/>
        <v>0.64084122350680284</v>
      </c>
      <c r="EM60" s="1159">
        <f t="shared" si="170"/>
        <v>0.98948509224545245</v>
      </c>
      <c r="EN60" s="1167">
        <f t="shared" si="171"/>
        <v>1</v>
      </c>
      <c r="EO60" s="1171">
        <f t="shared" si="172"/>
        <v>0.98948509224545245</v>
      </c>
      <c r="EP60" s="1168">
        <f t="shared" si="173"/>
        <v>2.7673066313959582</v>
      </c>
      <c r="EQ60" s="1169">
        <f t="shared" si="174"/>
        <v>3</v>
      </c>
      <c r="ER60" s="1146">
        <f t="shared" si="175"/>
        <v>0.92243554379865278</v>
      </c>
      <c r="ES60" s="1159">
        <f t="shared" si="176"/>
        <v>1.7101778645689438</v>
      </c>
      <c r="ET60" s="1167">
        <f t="shared" si="177"/>
        <v>2</v>
      </c>
      <c r="EU60" s="1155">
        <f t="shared" si="178"/>
        <v>0.85508893228447191</v>
      </c>
      <c r="EV60" s="1159">
        <f t="shared" si="179"/>
        <v>2.6996629568143962</v>
      </c>
      <c r="EW60" s="1167">
        <f t="shared" si="180"/>
        <v>3</v>
      </c>
      <c r="EX60" s="1155">
        <f t="shared" si="181"/>
        <v>0.89988765227146539</v>
      </c>
    </row>
    <row r="61" spans="2:154">
      <c r="B61" s="1233" t="s">
        <v>1272</v>
      </c>
      <c r="C61" s="1219">
        <v>6</v>
      </c>
      <c r="D61" s="1230" t="s">
        <v>1269</v>
      </c>
      <c r="E61" s="1230" t="s">
        <v>1270</v>
      </c>
      <c r="F61" s="1231" t="s">
        <v>1271</v>
      </c>
      <c r="V61" s="1278">
        <v>12.6</v>
      </c>
      <c r="W61" s="1262">
        <v>1.1000000000000001</v>
      </c>
      <c r="X61" s="1283">
        <v>55.333333333333336</v>
      </c>
      <c r="Y61" s="1272">
        <v>408.22151224707125</v>
      </c>
      <c r="Z61" s="1255" t="s">
        <v>1058</v>
      </c>
      <c r="AA61" s="1277">
        <v>5.5921999999999992</v>
      </c>
      <c r="AB61" s="1261">
        <v>19.2</v>
      </c>
      <c r="AC61" s="1294">
        <v>1.6051725349638066</v>
      </c>
      <c r="AD61" s="1271" t="s">
        <v>1058</v>
      </c>
      <c r="AE61" s="1271" t="s">
        <v>1058</v>
      </c>
      <c r="AF61" s="1254">
        <v>226.89870626952029</v>
      </c>
      <c r="AG61" s="1282">
        <v>87.974999999999994</v>
      </c>
      <c r="AH61" s="1290">
        <v>4</v>
      </c>
      <c r="AI61" s="1290">
        <v>2</v>
      </c>
      <c r="AJ61" s="1290">
        <v>2</v>
      </c>
      <c r="AK61" s="1290">
        <v>1</v>
      </c>
      <c r="AL61" s="1290">
        <v>1</v>
      </c>
      <c r="AM61" s="1290">
        <v>2</v>
      </c>
      <c r="AN61" s="1290">
        <v>3</v>
      </c>
      <c r="AO61" s="1290">
        <v>2</v>
      </c>
      <c r="AP61" s="1253">
        <v>110</v>
      </c>
      <c r="AQ61" s="1290"/>
      <c r="AR61" s="1290">
        <v>2</v>
      </c>
      <c r="AS61" s="1290">
        <v>5</v>
      </c>
      <c r="AT61" s="1290">
        <v>2</v>
      </c>
      <c r="AU61" s="1290"/>
      <c r="AV61" s="1133">
        <f t="shared" si="84"/>
        <v>3.81</v>
      </c>
      <c r="AW61" s="1134">
        <f t="shared" si="85"/>
        <v>1.25</v>
      </c>
      <c r="AX61" s="1134">
        <f t="shared" si="86"/>
        <v>0.15</v>
      </c>
      <c r="AY61" s="1135">
        <f t="shared" si="87"/>
        <v>1.1000000000000001</v>
      </c>
      <c r="AZ61" s="1136">
        <f t="shared" si="88"/>
        <v>0.8919235419367425</v>
      </c>
      <c r="BA61" s="1137">
        <f t="shared" si="89"/>
        <v>0.89993809999999996</v>
      </c>
      <c r="BB61" s="956">
        <f t="shared" si="90"/>
        <v>1.06</v>
      </c>
      <c r="BC61" s="1138">
        <f t="shared" si="91"/>
        <v>1.1000000000000001</v>
      </c>
      <c r="BD61" s="1139">
        <f t="shared" si="92"/>
        <v>55.333333333333336</v>
      </c>
      <c r="BE61" s="1138">
        <f t="shared" si="93"/>
        <v>1.0051850639031303</v>
      </c>
      <c r="BF61" s="1140">
        <f t="shared" si="94"/>
        <v>1</v>
      </c>
      <c r="BG61" s="1137">
        <f t="shared" si="95"/>
        <v>0.03</v>
      </c>
      <c r="BH61" s="956">
        <f t="shared" si="96"/>
        <v>1.35</v>
      </c>
      <c r="BI61" s="956">
        <f t="shared" si="97"/>
        <v>1.08</v>
      </c>
      <c r="BJ61" s="956">
        <f t="shared" si="98"/>
        <v>0</v>
      </c>
      <c r="BK61" s="956">
        <f t="shared" si="99"/>
        <v>1.08</v>
      </c>
      <c r="BL61" s="956">
        <f t="shared" si="100"/>
        <v>0</v>
      </c>
      <c r="BM61" s="1141">
        <f t="shared" si="101"/>
        <v>408.22151224707125</v>
      </c>
      <c r="BN61" s="1142">
        <f t="shared" si="102"/>
        <v>0.99999928300925456</v>
      </c>
      <c r="BO61" s="1143">
        <f t="shared" si="103"/>
        <v>0.43227500000000002</v>
      </c>
      <c r="BP61" s="1144">
        <f t="shared" si="104"/>
        <v>1</v>
      </c>
      <c r="BQ61" s="1134">
        <f t="shared" si="105"/>
        <v>0.9</v>
      </c>
      <c r="BR61" s="1145" t="str">
        <f t="shared" si="106"/>
        <v>.</v>
      </c>
      <c r="BS61" s="1146" t="e">
        <f t="shared" si="107"/>
        <v>#VALUE!</v>
      </c>
      <c r="BT61" s="1147">
        <f>VLOOKUP(AP61,'CROP FACTORS'!$C$5:$N$130,7,FALSE)</f>
        <v>6</v>
      </c>
      <c r="BU61" s="1148">
        <f>VLOOKUP(AP61,'CROP FACTORS'!$C$5:$P$130,8,FALSE)</f>
        <v>1</v>
      </c>
      <c r="BV61" s="1149">
        <f t="shared" si="108"/>
        <v>5.5921999999999992</v>
      </c>
      <c r="BW61" s="1150">
        <f t="shared" si="109"/>
        <v>0.92021271841205121</v>
      </c>
      <c r="BX61" s="1137">
        <f>VLOOKUP(AP61,'CROP FACTORS'!$C$5:$N$130,10,FALSE)</f>
        <v>16</v>
      </c>
      <c r="BY61" s="1138">
        <f t="shared" si="110"/>
        <v>170.02558720000002</v>
      </c>
      <c r="BZ61" s="956">
        <f t="shared" si="111"/>
        <v>0.01</v>
      </c>
      <c r="CA61" s="956">
        <f t="shared" si="112"/>
        <v>0.99</v>
      </c>
      <c r="CB61" s="1148">
        <f t="shared" si="113"/>
        <v>171.87716584460802</v>
      </c>
      <c r="CC61" s="1148">
        <f t="shared" si="114"/>
        <v>170.00858464128004</v>
      </c>
      <c r="CD61" s="956">
        <f t="shared" si="115"/>
        <v>140</v>
      </c>
      <c r="CE61" s="956">
        <f t="shared" si="116"/>
        <v>90000</v>
      </c>
      <c r="CF61" s="956">
        <f t="shared" si="117"/>
        <v>1</v>
      </c>
      <c r="CG61" s="956">
        <f t="shared" si="118"/>
        <v>0.02</v>
      </c>
      <c r="CH61" s="956">
        <f t="shared" si="119"/>
        <v>90990</v>
      </c>
      <c r="CI61" s="956">
        <f t="shared" si="120"/>
        <v>91800</v>
      </c>
      <c r="CJ61" s="1138">
        <f t="shared" si="121"/>
        <v>1.25</v>
      </c>
      <c r="CK61" s="1138">
        <f t="shared" si="122"/>
        <v>2.1</v>
      </c>
      <c r="CL61" s="1138">
        <f t="shared" si="123"/>
        <v>1.25</v>
      </c>
      <c r="CM61" s="1138">
        <f t="shared" si="124"/>
        <v>1.25</v>
      </c>
      <c r="CN61" s="1151">
        <f t="shared" si="125"/>
        <v>19.2</v>
      </c>
      <c r="CO61" s="1138">
        <f t="shared" si="126"/>
        <v>1</v>
      </c>
      <c r="CP61" s="1138">
        <f t="shared" si="127"/>
        <v>1</v>
      </c>
      <c r="CQ61" s="1152">
        <f t="shared" si="128"/>
        <v>1</v>
      </c>
      <c r="CR61" s="1153">
        <f t="shared" si="129"/>
        <v>1</v>
      </c>
      <c r="CS61" s="1137">
        <f t="shared" si="130"/>
        <v>0.79400000000000004</v>
      </c>
      <c r="CT61" s="956">
        <f t="shared" si="131"/>
        <v>88.025000000000006</v>
      </c>
      <c r="CU61" s="956">
        <f t="shared" si="132"/>
        <v>-12.061</v>
      </c>
      <c r="CV61" s="956">
        <f t="shared" si="133"/>
        <v>0</v>
      </c>
      <c r="CW61" s="956">
        <f t="shared" si="134"/>
        <v>9.3587152000000007</v>
      </c>
      <c r="CX61" s="956">
        <f t="shared" si="135"/>
        <v>-10.275524000000001</v>
      </c>
      <c r="CY61" s="1154">
        <f t="shared" si="136"/>
        <v>1.6051725349638066</v>
      </c>
      <c r="CZ61" s="1155">
        <f t="shared" si="137"/>
        <v>0.40123555778576558</v>
      </c>
      <c r="DA61" s="1137" t="e">
        <f>MIN(VLOOKUP(AP61,'CROP FACTORS'!$C$5:$N$130,2,FALSE),VLOOKUP(AQ61,'CROP FACTORS'!$C$5:$N$130,2,FALSE))</f>
        <v>#N/A</v>
      </c>
      <c r="DB61" s="956" t="e">
        <f>MIN(VLOOKUP(AP61,'CROP FACTORS'!$C$5:$N$130,4,FALSE),VLOOKUP(AQ61,'CROP FACTORS'!$C$5:$N$130,4,FALSE))</f>
        <v>#N/A</v>
      </c>
      <c r="DC61" s="1156" t="e">
        <f t="shared" si="138"/>
        <v>#N/A</v>
      </c>
      <c r="DD61" s="1138">
        <f t="shared" si="139"/>
        <v>1.07</v>
      </c>
      <c r="DE61" s="1157" t="str">
        <f t="shared" si="140"/>
        <v>.</v>
      </c>
      <c r="DF61" s="1138" t="e">
        <f t="shared" si="141"/>
        <v>#N/A</v>
      </c>
      <c r="DG61" s="1158" t="e">
        <f t="shared" si="142"/>
        <v>#N/A</v>
      </c>
      <c r="DH61" s="1159" t="str">
        <f t="shared" si="143"/>
        <v>.</v>
      </c>
      <c r="DI61" s="1153" t="e">
        <f t="shared" si="144"/>
        <v>#VALUE!</v>
      </c>
      <c r="DJ61" s="1133">
        <f t="shared" si="145"/>
        <v>5.8</v>
      </c>
      <c r="DK61" s="1160">
        <f t="shared" si="146"/>
        <v>2.9</v>
      </c>
      <c r="DL61" s="1134">
        <f t="shared" si="147"/>
        <v>2.1</v>
      </c>
      <c r="DM61" s="1161">
        <f t="shared" si="148"/>
        <v>226.89870626952029</v>
      </c>
      <c r="DN61" s="1144">
        <f t="shared" si="149"/>
        <v>52.142000000000003</v>
      </c>
      <c r="DO61" s="1162">
        <f t="shared" si="150"/>
        <v>1.0096444534183797</v>
      </c>
      <c r="DP61" s="1163">
        <f t="shared" si="151"/>
        <v>1</v>
      </c>
      <c r="DQ61" s="1133">
        <f t="shared" si="152"/>
        <v>1.0541</v>
      </c>
      <c r="DR61" s="1134">
        <f t="shared" si="153"/>
        <v>-9.8099999999999993E-3</v>
      </c>
      <c r="DS61" s="1164">
        <f t="shared" si="154"/>
        <v>87.974999999999994</v>
      </c>
      <c r="DT61" s="1146">
        <f t="shared" si="155"/>
        <v>0.60939646295575767</v>
      </c>
      <c r="DU61" s="1165">
        <f t="shared" si="156"/>
        <v>0.8919235419367425</v>
      </c>
      <c r="DV61" s="1166">
        <f t="shared" si="157"/>
        <v>1</v>
      </c>
      <c r="DW61" s="1166">
        <f t="shared" si="158"/>
        <v>0.99999928300925456</v>
      </c>
      <c r="DX61" s="1166"/>
      <c r="DY61" s="1166">
        <f t="shared" si="159"/>
        <v>0.92021271841205121</v>
      </c>
      <c r="DZ61" s="1166">
        <f t="shared" si="160"/>
        <v>1</v>
      </c>
      <c r="EA61" s="1138"/>
      <c r="EB61" s="1166">
        <f t="shared" si="161"/>
        <v>0.40123555778576558</v>
      </c>
      <c r="EC61" s="1166"/>
      <c r="ED61" s="1138"/>
      <c r="EE61" s="1166">
        <f t="shared" si="162"/>
        <v>1</v>
      </c>
      <c r="EF61" s="1140">
        <f t="shared" si="163"/>
        <v>0.60939646295575767</v>
      </c>
      <c r="EG61" s="1159">
        <f t="shared" si="164"/>
        <v>6.8227675640995713</v>
      </c>
      <c r="EH61" s="1167">
        <f t="shared" si="165"/>
        <v>8</v>
      </c>
      <c r="EI61" s="1302">
        <f t="shared" si="166"/>
        <v>0.85284594551244641</v>
      </c>
      <c r="EJ61" s="1168">
        <f t="shared" si="167"/>
        <v>1.4012355577857656</v>
      </c>
      <c r="EK61" s="1169">
        <f t="shared" si="168"/>
        <v>2</v>
      </c>
      <c r="EL61" s="1170">
        <f t="shared" si="169"/>
        <v>0.70061777889288279</v>
      </c>
      <c r="EM61" s="1159">
        <f t="shared" si="170"/>
        <v>0.92021271841205121</v>
      </c>
      <c r="EN61" s="1167">
        <f t="shared" si="171"/>
        <v>1</v>
      </c>
      <c r="EO61" s="1171">
        <f t="shared" si="172"/>
        <v>0.92021271841205121</v>
      </c>
      <c r="EP61" s="1168">
        <f t="shared" si="173"/>
        <v>2.891922824945997</v>
      </c>
      <c r="EQ61" s="1169">
        <f t="shared" si="174"/>
        <v>3</v>
      </c>
      <c r="ER61" s="1146">
        <f t="shared" si="175"/>
        <v>0.96397427498199895</v>
      </c>
      <c r="ES61" s="1159">
        <f t="shared" si="176"/>
        <v>1.6093964629557576</v>
      </c>
      <c r="ET61" s="1167">
        <f t="shared" si="177"/>
        <v>2</v>
      </c>
      <c r="EU61" s="1155">
        <f t="shared" si="178"/>
        <v>0.80469823147787878</v>
      </c>
      <c r="EV61" s="1159">
        <f t="shared" si="179"/>
        <v>2.5296091813678085</v>
      </c>
      <c r="EW61" s="1167">
        <f t="shared" si="180"/>
        <v>3</v>
      </c>
      <c r="EX61" s="1155">
        <f t="shared" si="181"/>
        <v>0.84320306045593618</v>
      </c>
    </row>
    <row r="62" spans="2:154">
      <c r="B62" s="1233" t="s">
        <v>1272</v>
      </c>
      <c r="C62" s="1219">
        <v>7</v>
      </c>
      <c r="D62" s="1230" t="s">
        <v>1269</v>
      </c>
      <c r="E62" s="1230" t="s">
        <v>1270</v>
      </c>
      <c r="F62" s="1231" t="s">
        <v>1271</v>
      </c>
      <c r="V62" s="1278">
        <v>15.1</v>
      </c>
      <c r="W62" s="1262">
        <v>1.3250000000000002</v>
      </c>
      <c r="X62" s="1283">
        <v>62.70000000000001</v>
      </c>
      <c r="Y62" s="1272">
        <v>512.05479452054783</v>
      </c>
      <c r="Z62" s="1255" t="s">
        <v>1058</v>
      </c>
      <c r="AA62" s="1277">
        <v>5.5</v>
      </c>
      <c r="AB62" s="1261">
        <v>26.2</v>
      </c>
      <c r="AC62" s="1294">
        <v>1.5203691990535761</v>
      </c>
      <c r="AD62" s="1271" t="s">
        <v>1058</v>
      </c>
      <c r="AE62" s="1271" t="s">
        <v>1058</v>
      </c>
      <c r="AF62" s="1254">
        <v>189.40759906759905</v>
      </c>
      <c r="AG62" s="1282">
        <v>195.5</v>
      </c>
      <c r="AH62" s="1290">
        <v>4</v>
      </c>
      <c r="AI62" s="1290">
        <v>2</v>
      </c>
      <c r="AJ62" s="1290">
        <v>2</v>
      </c>
      <c r="AK62" s="1290">
        <v>1</v>
      </c>
      <c r="AL62" s="1290">
        <v>1</v>
      </c>
      <c r="AM62" s="1290">
        <v>2</v>
      </c>
      <c r="AN62" s="1290">
        <v>3</v>
      </c>
      <c r="AO62" s="1290">
        <v>2</v>
      </c>
      <c r="AP62" s="1253">
        <v>110</v>
      </c>
      <c r="AQ62" s="1290"/>
      <c r="AR62" s="1290">
        <v>2</v>
      </c>
      <c r="AS62" s="1290">
        <v>5</v>
      </c>
      <c r="AT62" s="1290">
        <v>2</v>
      </c>
      <c r="AU62" s="1290"/>
      <c r="AV62" s="1133">
        <f t="shared" si="84"/>
        <v>3.81</v>
      </c>
      <c r="AW62" s="1134">
        <f t="shared" si="85"/>
        <v>1.25</v>
      </c>
      <c r="AX62" s="1134">
        <f t="shared" si="86"/>
        <v>0.15</v>
      </c>
      <c r="AY62" s="1135">
        <f t="shared" si="87"/>
        <v>1.3250000000000002</v>
      </c>
      <c r="AZ62" s="1136">
        <f t="shared" si="88"/>
        <v>0.9658695345370536</v>
      </c>
      <c r="BA62" s="1137">
        <f t="shared" si="89"/>
        <v>0.89993809999999996</v>
      </c>
      <c r="BB62" s="956">
        <f t="shared" si="90"/>
        <v>1.06</v>
      </c>
      <c r="BC62" s="1138">
        <f t="shared" si="91"/>
        <v>1.1000000000000001</v>
      </c>
      <c r="BD62" s="1139">
        <f t="shared" si="92"/>
        <v>62.70000000000001</v>
      </c>
      <c r="BE62" s="1138">
        <f t="shared" si="93"/>
        <v>0.97736118090354551</v>
      </c>
      <c r="BF62" s="1140">
        <f t="shared" si="94"/>
        <v>1</v>
      </c>
      <c r="BG62" s="1137">
        <f t="shared" si="95"/>
        <v>0.03</v>
      </c>
      <c r="BH62" s="956">
        <f t="shared" si="96"/>
        <v>1.35</v>
      </c>
      <c r="BI62" s="956">
        <f t="shared" si="97"/>
        <v>1.08</v>
      </c>
      <c r="BJ62" s="956">
        <f t="shared" si="98"/>
        <v>0</v>
      </c>
      <c r="BK62" s="956">
        <f t="shared" si="99"/>
        <v>1.08</v>
      </c>
      <c r="BL62" s="956">
        <f t="shared" si="100"/>
        <v>0</v>
      </c>
      <c r="BM62" s="1141">
        <f t="shared" si="101"/>
        <v>512.05479452054783</v>
      </c>
      <c r="BN62" s="1142">
        <f t="shared" si="102"/>
        <v>0.99999999236001325</v>
      </c>
      <c r="BO62" s="1143">
        <f t="shared" si="103"/>
        <v>0.43227500000000002</v>
      </c>
      <c r="BP62" s="1144">
        <f t="shared" si="104"/>
        <v>1</v>
      </c>
      <c r="BQ62" s="1134">
        <f t="shared" si="105"/>
        <v>0.9</v>
      </c>
      <c r="BR62" s="1145" t="str">
        <f t="shared" si="106"/>
        <v>.</v>
      </c>
      <c r="BS62" s="1146" t="e">
        <f t="shared" si="107"/>
        <v>#VALUE!</v>
      </c>
      <c r="BT62" s="1147">
        <f>VLOOKUP(AP62,'CROP FACTORS'!$C$5:$N$130,7,FALSE)</f>
        <v>6</v>
      </c>
      <c r="BU62" s="1148">
        <f>VLOOKUP(AP62,'CROP FACTORS'!$C$5:$P$130,8,FALSE)</f>
        <v>1</v>
      </c>
      <c r="BV62" s="1149">
        <f t="shared" si="108"/>
        <v>5.5</v>
      </c>
      <c r="BW62" s="1150">
        <f t="shared" si="109"/>
        <v>0.88249690258459546</v>
      </c>
      <c r="BX62" s="1137">
        <f>VLOOKUP(AP62,'CROP FACTORS'!$C$5:$N$130,10,FALSE)</f>
        <v>16</v>
      </c>
      <c r="BY62" s="1138">
        <f t="shared" si="110"/>
        <v>170.02558720000002</v>
      </c>
      <c r="BZ62" s="956">
        <f t="shared" si="111"/>
        <v>0.01</v>
      </c>
      <c r="CA62" s="956">
        <f t="shared" si="112"/>
        <v>0.99</v>
      </c>
      <c r="CB62" s="1148">
        <f t="shared" si="113"/>
        <v>172.25589784009603</v>
      </c>
      <c r="CC62" s="1148">
        <f t="shared" si="114"/>
        <v>170.00858464128004</v>
      </c>
      <c r="CD62" s="956">
        <f t="shared" si="115"/>
        <v>140</v>
      </c>
      <c r="CE62" s="956">
        <f t="shared" si="116"/>
        <v>90000</v>
      </c>
      <c r="CF62" s="956">
        <f t="shared" si="117"/>
        <v>1</v>
      </c>
      <c r="CG62" s="956">
        <f t="shared" si="118"/>
        <v>0.02</v>
      </c>
      <c r="CH62" s="956">
        <f t="shared" si="119"/>
        <v>91192.5</v>
      </c>
      <c r="CI62" s="956">
        <f t="shared" si="120"/>
        <v>91800</v>
      </c>
      <c r="CJ62" s="1138">
        <f t="shared" si="121"/>
        <v>1.25</v>
      </c>
      <c r="CK62" s="1138">
        <f t="shared" si="122"/>
        <v>2.1</v>
      </c>
      <c r="CL62" s="1138">
        <f t="shared" si="123"/>
        <v>1.25</v>
      </c>
      <c r="CM62" s="1138">
        <f t="shared" si="124"/>
        <v>1.25</v>
      </c>
      <c r="CN62" s="1151">
        <f t="shared" si="125"/>
        <v>26.2</v>
      </c>
      <c r="CO62" s="1138">
        <f t="shared" si="126"/>
        <v>1</v>
      </c>
      <c r="CP62" s="1138">
        <f t="shared" si="127"/>
        <v>1</v>
      </c>
      <c r="CQ62" s="1152">
        <f t="shared" si="128"/>
        <v>1</v>
      </c>
      <c r="CR62" s="1153">
        <f t="shared" si="129"/>
        <v>1</v>
      </c>
      <c r="CS62" s="1137">
        <f t="shared" si="130"/>
        <v>0.79400000000000004</v>
      </c>
      <c r="CT62" s="956">
        <f t="shared" si="131"/>
        <v>88.025000000000006</v>
      </c>
      <c r="CU62" s="956">
        <f t="shared" si="132"/>
        <v>-12.061</v>
      </c>
      <c r="CV62" s="956">
        <f t="shared" si="133"/>
        <v>0</v>
      </c>
      <c r="CW62" s="956">
        <f t="shared" si="134"/>
        <v>9.3587152000000007</v>
      </c>
      <c r="CX62" s="956">
        <f t="shared" si="135"/>
        <v>-10.275524000000001</v>
      </c>
      <c r="CY62" s="1154">
        <f t="shared" si="136"/>
        <v>1.5203691990535761</v>
      </c>
      <c r="CZ62" s="1155">
        <f t="shared" si="137"/>
        <v>0.54159001224503367</v>
      </c>
      <c r="DA62" s="1137" t="e">
        <f>MIN(VLOOKUP(AP62,'CROP FACTORS'!$C$5:$N$130,2,FALSE),VLOOKUP(AQ62,'CROP FACTORS'!$C$5:$N$130,2,FALSE))</f>
        <v>#N/A</v>
      </c>
      <c r="DB62" s="956" t="e">
        <f>MIN(VLOOKUP(AP62,'CROP FACTORS'!$C$5:$N$130,4,FALSE),VLOOKUP(AQ62,'CROP FACTORS'!$C$5:$N$130,4,FALSE))</f>
        <v>#N/A</v>
      </c>
      <c r="DC62" s="1156" t="e">
        <f t="shared" si="138"/>
        <v>#N/A</v>
      </c>
      <c r="DD62" s="1138">
        <f t="shared" si="139"/>
        <v>1.07</v>
      </c>
      <c r="DE62" s="1157" t="str">
        <f t="shared" si="140"/>
        <v>.</v>
      </c>
      <c r="DF62" s="1138" t="e">
        <f t="shared" si="141"/>
        <v>#N/A</v>
      </c>
      <c r="DG62" s="1158" t="e">
        <f t="shared" si="142"/>
        <v>#N/A</v>
      </c>
      <c r="DH62" s="1159" t="str">
        <f t="shared" si="143"/>
        <v>.</v>
      </c>
      <c r="DI62" s="1153" t="e">
        <f t="shared" si="144"/>
        <v>#VALUE!</v>
      </c>
      <c r="DJ62" s="1133">
        <f t="shared" si="145"/>
        <v>5.8</v>
      </c>
      <c r="DK62" s="1160">
        <f t="shared" si="146"/>
        <v>2.9</v>
      </c>
      <c r="DL62" s="1134">
        <f t="shared" si="147"/>
        <v>2.1</v>
      </c>
      <c r="DM62" s="1161">
        <f t="shared" si="148"/>
        <v>189.40759906759905</v>
      </c>
      <c r="DN62" s="1144">
        <f t="shared" si="149"/>
        <v>52.142000000000003</v>
      </c>
      <c r="DO62" s="1162">
        <f t="shared" si="150"/>
        <v>1.0074941443204413</v>
      </c>
      <c r="DP62" s="1163">
        <f t="shared" si="151"/>
        <v>1</v>
      </c>
      <c r="DQ62" s="1133">
        <f t="shared" si="152"/>
        <v>1.0541</v>
      </c>
      <c r="DR62" s="1134">
        <f t="shared" si="153"/>
        <v>-9.8099999999999993E-3</v>
      </c>
      <c r="DS62" s="1164">
        <f t="shared" si="154"/>
        <v>195.5</v>
      </c>
      <c r="DT62" s="1146">
        <f t="shared" si="155"/>
        <v>0.89922976058116189</v>
      </c>
      <c r="DU62" s="1165">
        <f t="shared" si="156"/>
        <v>0.9658695345370536</v>
      </c>
      <c r="DV62" s="1166">
        <f t="shared" si="157"/>
        <v>1</v>
      </c>
      <c r="DW62" s="1166">
        <f t="shared" si="158"/>
        <v>0.99999999236001325</v>
      </c>
      <c r="DX62" s="1166"/>
      <c r="DY62" s="1166">
        <f t="shared" si="159"/>
        <v>0.88249690258459546</v>
      </c>
      <c r="DZ62" s="1166">
        <f t="shared" si="160"/>
        <v>1</v>
      </c>
      <c r="EA62" s="1138"/>
      <c r="EB62" s="1166">
        <f t="shared" si="161"/>
        <v>0.54159001224503367</v>
      </c>
      <c r="EC62" s="1166"/>
      <c r="ED62" s="1138"/>
      <c r="EE62" s="1166">
        <f t="shared" si="162"/>
        <v>1</v>
      </c>
      <c r="EF62" s="1140">
        <f t="shared" si="163"/>
        <v>0.89922976058116189</v>
      </c>
      <c r="EG62" s="1159">
        <f t="shared" si="164"/>
        <v>7.2891862023078575</v>
      </c>
      <c r="EH62" s="1167">
        <f t="shared" si="165"/>
        <v>8</v>
      </c>
      <c r="EI62" s="1302">
        <f t="shared" si="166"/>
        <v>0.91114827528848219</v>
      </c>
      <c r="EJ62" s="1168">
        <f t="shared" si="167"/>
        <v>1.5415900122450337</v>
      </c>
      <c r="EK62" s="1169">
        <f t="shared" si="168"/>
        <v>2</v>
      </c>
      <c r="EL62" s="1170">
        <f t="shared" si="169"/>
        <v>0.77079500612251683</v>
      </c>
      <c r="EM62" s="1159">
        <f t="shared" si="170"/>
        <v>0.88249690258459546</v>
      </c>
      <c r="EN62" s="1167">
        <f t="shared" si="171"/>
        <v>1</v>
      </c>
      <c r="EO62" s="1171">
        <f t="shared" si="172"/>
        <v>0.88249690258459546</v>
      </c>
      <c r="EP62" s="1168">
        <f t="shared" si="173"/>
        <v>2.965869526897067</v>
      </c>
      <c r="EQ62" s="1169">
        <f t="shared" si="174"/>
        <v>3</v>
      </c>
      <c r="ER62" s="1146">
        <f t="shared" si="175"/>
        <v>0.98862317563235569</v>
      </c>
      <c r="ES62" s="1159">
        <f t="shared" si="176"/>
        <v>1.8992297605811619</v>
      </c>
      <c r="ET62" s="1167">
        <f t="shared" si="177"/>
        <v>2</v>
      </c>
      <c r="EU62" s="1155">
        <f t="shared" si="178"/>
        <v>0.94961488029058094</v>
      </c>
      <c r="EV62" s="1159">
        <f t="shared" si="179"/>
        <v>2.7817266631657573</v>
      </c>
      <c r="EW62" s="1167">
        <f t="shared" si="180"/>
        <v>3</v>
      </c>
      <c r="EX62" s="1155">
        <f t="shared" si="181"/>
        <v>0.92724222105525245</v>
      </c>
    </row>
    <row r="63" spans="2:154">
      <c r="B63" s="1233" t="s">
        <v>1272</v>
      </c>
      <c r="C63" s="1219">
        <v>8</v>
      </c>
      <c r="D63" s="1230" t="s">
        <v>1269</v>
      </c>
      <c r="E63" s="1230" t="s">
        <v>1270</v>
      </c>
      <c r="F63" s="1231" t="s">
        <v>1271</v>
      </c>
      <c r="V63" s="1268">
        <v>15.1</v>
      </c>
      <c r="W63" s="1276">
        <v>1.1599999999999999</v>
      </c>
      <c r="X63" s="1283">
        <v>60.46875</v>
      </c>
      <c r="Y63" s="1272">
        <v>761.88573481854121</v>
      </c>
      <c r="Z63" s="1255" t="s">
        <v>1058</v>
      </c>
      <c r="AA63" s="1265">
        <v>6.3298000000000005</v>
      </c>
      <c r="AB63" s="1299">
        <v>25.4</v>
      </c>
      <c r="AC63" s="1294">
        <v>1.6734603040738401</v>
      </c>
      <c r="AD63" s="1271" t="s">
        <v>1058</v>
      </c>
      <c r="AE63" s="1271" t="s">
        <v>1058</v>
      </c>
      <c r="AF63" s="1254">
        <v>178.11838513457212</v>
      </c>
      <c r="AG63" s="1291">
        <v>126.29300000000001</v>
      </c>
      <c r="AH63" s="1300">
        <v>4</v>
      </c>
      <c r="AI63" s="1300">
        <v>2</v>
      </c>
      <c r="AJ63" s="1300">
        <v>2</v>
      </c>
      <c r="AK63" s="1300">
        <v>1</v>
      </c>
      <c r="AL63" s="1300">
        <v>1</v>
      </c>
      <c r="AM63" s="1300">
        <v>2</v>
      </c>
      <c r="AN63" s="1300">
        <v>3</v>
      </c>
      <c r="AO63" s="1300">
        <v>2</v>
      </c>
      <c r="AP63" s="1253">
        <v>110</v>
      </c>
      <c r="AQ63" s="1300"/>
      <c r="AR63" s="1300">
        <v>2</v>
      </c>
      <c r="AS63" s="1300">
        <v>5</v>
      </c>
      <c r="AT63" s="1300">
        <v>2</v>
      </c>
      <c r="AU63" s="1300"/>
      <c r="AV63" s="1133">
        <f t="shared" si="84"/>
        <v>3.81</v>
      </c>
      <c r="AW63" s="1134">
        <f t="shared" si="85"/>
        <v>1.25</v>
      </c>
      <c r="AX63" s="1134">
        <f t="shared" si="86"/>
        <v>0.15</v>
      </c>
      <c r="AY63" s="1135">
        <f t="shared" si="87"/>
        <v>1.1599999999999999</v>
      </c>
      <c r="AZ63" s="1136">
        <f t="shared" si="88"/>
        <v>0.91976467661420425</v>
      </c>
      <c r="BA63" s="1137">
        <f t="shared" si="89"/>
        <v>0.89993809999999996</v>
      </c>
      <c r="BB63" s="956">
        <f t="shared" si="90"/>
        <v>1.06</v>
      </c>
      <c r="BC63" s="1138">
        <f t="shared" si="91"/>
        <v>1.1000000000000001</v>
      </c>
      <c r="BD63" s="1139">
        <f t="shared" si="92"/>
        <v>60.46875</v>
      </c>
      <c r="BE63" s="1138">
        <f t="shared" si="93"/>
        <v>0.98971992026236377</v>
      </c>
      <c r="BF63" s="1140">
        <f t="shared" si="94"/>
        <v>1</v>
      </c>
      <c r="BG63" s="1137">
        <f t="shared" si="95"/>
        <v>0.03</v>
      </c>
      <c r="BH63" s="956">
        <f t="shared" si="96"/>
        <v>1.35</v>
      </c>
      <c r="BI63" s="956">
        <f t="shared" si="97"/>
        <v>1.08</v>
      </c>
      <c r="BJ63" s="956">
        <f t="shared" si="98"/>
        <v>0</v>
      </c>
      <c r="BK63" s="956">
        <f t="shared" si="99"/>
        <v>1.08</v>
      </c>
      <c r="BL63" s="956">
        <f t="shared" si="100"/>
        <v>0</v>
      </c>
      <c r="BM63" s="1141">
        <f t="shared" si="101"/>
        <v>761.88573481854121</v>
      </c>
      <c r="BN63" s="1142">
        <f t="shared" si="102"/>
        <v>0.99999999999986278</v>
      </c>
      <c r="BO63" s="1143">
        <f t="shared" si="103"/>
        <v>0.43227500000000002</v>
      </c>
      <c r="BP63" s="1144">
        <f t="shared" si="104"/>
        <v>1</v>
      </c>
      <c r="BQ63" s="1134">
        <f t="shared" si="105"/>
        <v>0.9</v>
      </c>
      <c r="BR63" s="1145" t="str">
        <f t="shared" si="106"/>
        <v>.</v>
      </c>
      <c r="BS63" s="1146" t="e">
        <f t="shared" si="107"/>
        <v>#VALUE!</v>
      </c>
      <c r="BT63" s="1147">
        <f>VLOOKUP(AP63,'CROP FACTORS'!$C$5:$N$130,7,FALSE)</f>
        <v>6</v>
      </c>
      <c r="BU63" s="1148">
        <f>VLOOKUP(AP63,'CROP FACTORS'!$C$5:$P$130,8,FALSE)</f>
        <v>1</v>
      </c>
      <c r="BV63" s="1149">
        <f t="shared" si="108"/>
        <v>6.3298000000000005</v>
      </c>
      <c r="BW63" s="1150">
        <f t="shared" si="109"/>
        <v>0.94706834347486846</v>
      </c>
      <c r="BX63" s="1137">
        <f>VLOOKUP(AP63,'CROP FACTORS'!$C$5:$N$130,10,FALSE)</f>
        <v>16</v>
      </c>
      <c r="BY63" s="1138">
        <f t="shared" si="110"/>
        <v>170.02558720000002</v>
      </c>
      <c r="BZ63" s="956">
        <f t="shared" si="111"/>
        <v>0.01</v>
      </c>
      <c r="CA63" s="956">
        <f t="shared" si="112"/>
        <v>0.99</v>
      </c>
      <c r="CB63" s="1148">
        <f t="shared" si="113"/>
        <v>171.97816104340481</v>
      </c>
      <c r="CC63" s="1148">
        <f t="shared" si="114"/>
        <v>170.00858464128004</v>
      </c>
      <c r="CD63" s="956">
        <f t="shared" si="115"/>
        <v>140</v>
      </c>
      <c r="CE63" s="956">
        <f t="shared" si="116"/>
        <v>90000</v>
      </c>
      <c r="CF63" s="956">
        <f t="shared" si="117"/>
        <v>1</v>
      </c>
      <c r="CG63" s="956">
        <f t="shared" si="118"/>
        <v>0.02</v>
      </c>
      <c r="CH63" s="956">
        <f t="shared" si="119"/>
        <v>91044</v>
      </c>
      <c r="CI63" s="956">
        <f t="shared" si="120"/>
        <v>91800</v>
      </c>
      <c r="CJ63" s="1138">
        <f t="shared" si="121"/>
        <v>1.25</v>
      </c>
      <c r="CK63" s="1138">
        <f t="shared" si="122"/>
        <v>2.1</v>
      </c>
      <c r="CL63" s="1138">
        <f t="shared" si="123"/>
        <v>1.25</v>
      </c>
      <c r="CM63" s="1138">
        <f t="shared" si="124"/>
        <v>1.25</v>
      </c>
      <c r="CN63" s="1151">
        <f t="shared" si="125"/>
        <v>25.4</v>
      </c>
      <c r="CO63" s="1138">
        <f t="shared" si="126"/>
        <v>1</v>
      </c>
      <c r="CP63" s="1138">
        <f t="shared" si="127"/>
        <v>1</v>
      </c>
      <c r="CQ63" s="1152">
        <f t="shared" si="128"/>
        <v>1</v>
      </c>
      <c r="CR63" s="1153">
        <f t="shared" si="129"/>
        <v>1</v>
      </c>
      <c r="CS63" s="1137">
        <f t="shared" si="130"/>
        <v>0.79400000000000004</v>
      </c>
      <c r="CT63" s="956">
        <f t="shared" si="131"/>
        <v>88.025000000000006</v>
      </c>
      <c r="CU63" s="956">
        <f t="shared" si="132"/>
        <v>-12.061</v>
      </c>
      <c r="CV63" s="956">
        <f t="shared" si="133"/>
        <v>0</v>
      </c>
      <c r="CW63" s="956">
        <f t="shared" si="134"/>
        <v>9.3587152000000007</v>
      </c>
      <c r="CX63" s="956">
        <f t="shared" si="135"/>
        <v>-10.275524000000001</v>
      </c>
      <c r="CY63" s="1154">
        <f t="shared" si="136"/>
        <v>1.6734603040738401</v>
      </c>
      <c r="CZ63" s="1155">
        <f t="shared" si="137"/>
        <v>0.3286964130598542</v>
      </c>
      <c r="DA63" s="1137" t="e">
        <f>MIN(VLOOKUP(AP63,'CROP FACTORS'!$C$5:$N$130,2,FALSE),VLOOKUP(AQ63,'CROP FACTORS'!$C$5:$N$130,2,FALSE))</f>
        <v>#N/A</v>
      </c>
      <c r="DB63" s="956" t="e">
        <f>MIN(VLOOKUP(AP63,'CROP FACTORS'!$C$5:$N$130,4,FALSE),VLOOKUP(AQ63,'CROP FACTORS'!$C$5:$N$130,4,FALSE))</f>
        <v>#N/A</v>
      </c>
      <c r="DC63" s="1156" t="e">
        <f t="shared" si="138"/>
        <v>#N/A</v>
      </c>
      <c r="DD63" s="1138">
        <f t="shared" si="139"/>
        <v>1.07</v>
      </c>
      <c r="DE63" s="1157" t="str">
        <f t="shared" si="140"/>
        <v>.</v>
      </c>
      <c r="DF63" s="1138" t="e">
        <f t="shared" si="141"/>
        <v>#N/A</v>
      </c>
      <c r="DG63" s="1158" t="e">
        <f t="shared" si="142"/>
        <v>#N/A</v>
      </c>
      <c r="DH63" s="1159" t="str">
        <f t="shared" si="143"/>
        <v>.</v>
      </c>
      <c r="DI63" s="1153" t="e">
        <f t="shared" si="144"/>
        <v>#VALUE!</v>
      </c>
      <c r="DJ63" s="1133">
        <f t="shared" si="145"/>
        <v>5.8</v>
      </c>
      <c r="DK63" s="1160">
        <f t="shared" si="146"/>
        <v>2.9</v>
      </c>
      <c r="DL63" s="1134">
        <f t="shared" si="147"/>
        <v>2.1</v>
      </c>
      <c r="DM63" s="1161">
        <f t="shared" si="148"/>
        <v>178.11838513457212</v>
      </c>
      <c r="DN63" s="1144">
        <f t="shared" si="149"/>
        <v>52.142000000000003</v>
      </c>
      <c r="DO63" s="1162">
        <f t="shared" si="150"/>
        <v>1.0054945590157238</v>
      </c>
      <c r="DP63" s="1163">
        <f t="shared" si="151"/>
        <v>1</v>
      </c>
      <c r="DQ63" s="1133">
        <f t="shared" si="152"/>
        <v>1.0541</v>
      </c>
      <c r="DR63" s="1134">
        <f t="shared" si="153"/>
        <v>-9.8099999999999993E-3</v>
      </c>
      <c r="DS63" s="1164">
        <f t="shared" si="154"/>
        <v>126.29300000000001</v>
      </c>
      <c r="DT63" s="1146">
        <f t="shared" si="155"/>
        <v>0.74873485072459611</v>
      </c>
      <c r="DU63" s="1165">
        <f t="shared" si="156"/>
        <v>0.91976467661420425</v>
      </c>
      <c r="DV63" s="1166">
        <f t="shared" si="157"/>
        <v>1</v>
      </c>
      <c r="DW63" s="1166">
        <f t="shared" si="158"/>
        <v>0.99999999999986278</v>
      </c>
      <c r="DX63" s="1166"/>
      <c r="DY63" s="1166">
        <f t="shared" si="159"/>
        <v>0.94706834347486846</v>
      </c>
      <c r="DZ63" s="1166">
        <f t="shared" si="160"/>
        <v>1</v>
      </c>
      <c r="EA63" s="1138"/>
      <c r="EB63" s="1166">
        <f t="shared" si="161"/>
        <v>0.3286964130598542</v>
      </c>
      <c r="EC63" s="1166"/>
      <c r="ED63" s="1138"/>
      <c r="EE63" s="1166">
        <f t="shared" si="162"/>
        <v>1</v>
      </c>
      <c r="EF63" s="1140">
        <f t="shared" si="163"/>
        <v>0.74873485072459611</v>
      </c>
      <c r="EG63" s="1159">
        <f t="shared" si="164"/>
        <v>6.9442642838733848</v>
      </c>
      <c r="EH63" s="1167">
        <f t="shared" si="165"/>
        <v>8</v>
      </c>
      <c r="EI63" s="1302">
        <f t="shared" si="166"/>
        <v>0.8680330354841731</v>
      </c>
      <c r="EJ63" s="1168">
        <f t="shared" si="167"/>
        <v>1.3286964130598542</v>
      </c>
      <c r="EK63" s="1169">
        <f t="shared" si="168"/>
        <v>2</v>
      </c>
      <c r="EL63" s="1170">
        <f t="shared" si="169"/>
        <v>0.6643482065299271</v>
      </c>
      <c r="EM63" s="1159">
        <f t="shared" si="170"/>
        <v>0.94706834347486846</v>
      </c>
      <c r="EN63" s="1167">
        <f t="shared" si="171"/>
        <v>1</v>
      </c>
      <c r="EO63" s="1171">
        <f t="shared" si="172"/>
        <v>0.94706834347486846</v>
      </c>
      <c r="EP63" s="1168">
        <f t="shared" si="173"/>
        <v>2.9197646766140668</v>
      </c>
      <c r="EQ63" s="1169">
        <f t="shared" si="174"/>
        <v>3</v>
      </c>
      <c r="ER63" s="1146">
        <f t="shared" si="175"/>
        <v>0.97325489220468897</v>
      </c>
      <c r="ES63" s="1159">
        <f t="shared" si="176"/>
        <v>1.7487348507245961</v>
      </c>
      <c r="ET63" s="1167">
        <f t="shared" si="177"/>
        <v>2</v>
      </c>
      <c r="EU63" s="1155">
        <f t="shared" si="178"/>
        <v>0.87436742536229806</v>
      </c>
      <c r="EV63" s="1159">
        <f t="shared" si="179"/>
        <v>2.6958031941994647</v>
      </c>
      <c r="EW63" s="1167">
        <f t="shared" si="180"/>
        <v>3</v>
      </c>
      <c r="EX63" s="1155">
        <f t="shared" si="181"/>
        <v>0.89860106473315493</v>
      </c>
    </row>
    <row r="64" spans="2:154" ht="16" thickBot="1">
      <c r="B64" s="1235" t="s">
        <v>1272</v>
      </c>
      <c r="C64" s="1236">
        <v>9</v>
      </c>
      <c r="D64" s="1237" t="s">
        <v>1269</v>
      </c>
      <c r="E64" s="1237" t="s">
        <v>1270</v>
      </c>
      <c r="F64" s="1238" t="s">
        <v>1271</v>
      </c>
      <c r="V64" s="1275">
        <v>17.8</v>
      </c>
      <c r="W64" s="1259">
        <v>1.05</v>
      </c>
      <c r="X64" s="1281">
        <v>75.900000000000006</v>
      </c>
      <c r="Y64" s="1270">
        <v>267.51913875598075</v>
      </c>
      <c r="Z64" s="1255" t="s">
        <v>1058</v>
      </c>
      <c r="AA64" s="1274">
        <v>5.4077999999999999</v>
      </c>
      <c r="AB64" s="1258">
        <v>26.2</v>
      </c>
      <c r="AC64" s="1292">
        <v>1.6404291704734464</v>
      </c>
      <c r="AD64" s="1271" t="s">
        <v>1058</v>
      </c>
      <c r="AE64" s="1271" t="s">
        <v>1058</v>
      </c>
      <c r="AF64" s="1284">
        <v>148.1409181900901</v>
      </c>
      <c r="AG64" s="1301">
        <v>129.03</v>
      </c>
      <c r="AH64" s="1296">
        <v>4</v>
      </c>
      <c r="AI64" s="1296">
        <v>2</v>
      </c>
      <c r="AJ64" s="1296">
        <v>2</v>
      </c>
      <c r="AK64" s="1296">
        <v>1</v>
      </c>
      <c r="AL64" s="1296">
        <v>1</v>
      </c>
      <c r="AM64" s="1296">
        <v>2</v>
      </c>
      <c r="AN64" s="1296">
        <v>3</v>
      </c>
      <c r="AO64" s="1296">
        <v>2</v>
      </c>
      <c r="AP64" s="1253">
        <v>110</v>
      </c>
      <c r="AQ64" s="1296"/>
      <c r="AR64" s="1296">
        <v>2</v>
      </c>
      <c r="AS64" s="1296">
        <v>5</v>
      </c>
      <c r="AT64" s="1296">
        <v>2</v>
      </c>
      <c r="AU64" s="1296"/>
      <c r="AV64" s="1133">
        <f t="shared" si="84"/>
        <v>3.81</v>
      </c>
      <c r="AW64" s="1134">
        <f t="shared" si="85"/>
        <v>1.25</v>
      </c>
      <c r="AX64" s="1134">
        <f t="shared" si="86"/>
        <v>0.15</v>
      </c>
      <c r="AY64" s="1135">
        <f t="shared" si="87"/>
        <v>1.05</v>
      </c>
      <c r="AZ64" s="1136">
        <f t="shared" si="88"/>
        <v>0.86255768688360079</v>
      </c>
      <c r="BA64" s="1137">
        <f t="shared" si="89"/>
        <v>0.89993809999999996</v>
      </c>
      <c r="BB64" s="956">
        <f t="shared" si="90"/>
        <v>1.06</v>
      </c>
      <c r="BC64" s="1138">
        <f t="shared" si="91"/>
        <v>1.1000000000000001</v>
      </c>
      <c r="BD64" s="1139">
        <f t="shared" si="92"/>
        <v>75.900000000000006</v>
      </c>
      <c r="BE64" s="1138">
        <f t="shared" si="93"/>
        <v>0.8362108850037363</v>
      </c>
      <c r="BF64" s="1140">
        <f t="shared" si="94"/>
        <v>1</v>
      </c>
      <c r="BG64" s="1137">
        <f t="shared" si="95"/>
        <v>0.03</v>
      </c>
      <c r="BH64" s="956">
        <f t="shared" si="96"/>
        <v>1.35</v>
      </c>
      <c r="BI64" s="956">
        <f t="shared" si="97"/>
        <v>1.08</v>
      </c>
      <c r="BJ64" s="956">
        <f t="shared" si="98"/>
        <v>0</v>
      </c>
      <c r="BK64" s="956">
        <f t="shared" si="99"/>
        <v>1.08</v>
      </c>
      <c r="BL64" s="956">
        <f t="shared" si="100"/>
        <v>0</v>
      </c>
      <c r="BM64" s="1141">
        <f t="shared" si="101"/>
        <v>267.51913875598075</v>
      </c>
      <c r="BN64" s="1142">
        <f t="shared" si="102"/>
        <v>0.99966259205328889</v>
      </c>
      <c r="BO64" s="1143">
        <f t="shared" si="103"/>
        <v>0.43227500000000002</v>
      </c>
      <c r="BP64" s="1144">
        <f t="shared" si="104"/>
        <v>1</v>
      </c>
      <c r="BQ64" s="1134">
        <f t="shared" si="105"/>
        <v>0.9</v>
      </c>
      <c r="BR64" s="1145" t="str">
        <f t="shared" si="106"/>
        <v>.</v>
      </c>
      <c r="BS64" s="1146" t="e">
        <f t="shared" si="107"/>
        <v>#VALUE!</v>
      </c>
      <c r="BT64" s="1147">
        <f>VLOOKUP(AP64,'CROP FACTORS'!$C$5:$N$130,7,FALSE)</f>
        <v>6</v>
      </c>
      <c r="BU64" s="1148">
        <f>VLOOKUP(AP64,'CROP FACTORS'!$C$5:$P$130,8,FALSE)</f>
        <v>1</v>
      </c>
      <c r="BV64" s="1149">
        <f t="shared" si="108"/>
        <v>5.4077999999999999</v>
      </c>
      <c r="BW64" s="1150">
        <f t="shared" si="109"/>
        <v>0.83916290977418639</v>
      </c>
      <c r="BX64" s="1137">
        <f>VLOOKUP(AP64,'CROP FACTORS'!$C$5:$N$130,10,FALSE)</f>
        <v>16</v>
      </c>
      <c r="BY64" s="1138">
        <f t="shared" si="110"/>
        <v>170.02558720000002</v>
      </c>
      <c r="BZ64" s="956">
        <f t="shared" si="111"/>
        <v>0.01</v>
      </c>
      <c r="CA64" s="956">
        <f t="shared" si="112"/>
        <v>0.99</v>
      </c>
      <c r="CB64" s="1148">
        <f t="shared" si="113"/>
        <v>171.79300317894402</v>
      </c>
      <c r="CC64" s="1148">
        <f t="shared" si="114"/>
        <v>170.00858464128004</v>
      </c>
      <c r="CD64" s="956">
        <f t="shared" si="115"/>
        <v>140</v>
      </c>
      <c r="CE64" s="956">
        <f t="shared" si="116"/>
        <v>90000</v>
      </c>
      <c r="CF64" s="956">
        <f t="shared" si="117"/>
        <v>1</v>
      </c>
      <c r="CG64" s="956">
        <f t="shared" si="118"/>
        <v>0.02</v>
      </c>
      <c r="CH64" s="956">
        <f t="shared" si="119"/>
        <v>90945</v>
      </c>
      <c r="CI64" s="956">
        <f t="shared" si="120"/>
        <v>91800</v>
      </c>
      <c r="CJ64" s="1138">
        <f t="shared" si="121"/>
        <v>1.25</v>
      </c>
      <c r="CK64" s="1138">
        <f t="shared" si="122"/>
        <v>2.1</v>
      </c>
      <c r="CL64" s="1138">
        <f t="shared" si="123"/>
        <v>1.25</v>
      </c>
      <c r="CM64" s="1138">
        <f t="shared" si="124"/>
        <v>1.25</v>
      </c>
      <c r="CN64" s="1151">
        <f t="shared" si="125"/>
        <v>26.2</v>
      </c>
      <c r="CO64" s="1138">
        <f t="shared" si="126"/>
        <v>1</v>
      </c>
      <c r="CP64" s="1138">
        <f t="shared" si="127"/>
        <v>1</v>
      </c>
      <c r="CQ64" s="1152">
        <f t="shared" si="128"/>
        <v>1</v>
      </c>
      <c r="CR64" s="1153">
        <f t="shared" si="129"/>
        <v>1</v>
      </c>
      <c r="CS64" s="1137">
        <f t="shared" si="130"/>
        <v>0.79400000000000004</v>
      </c>
      <c r="CT64" s="956">
        <f t="shared" si="131"/>
        <v>88.025000000000006</v>
      </c>
      <c r="CU64" s="956">
        <f t="shared" si="132"/>
        <v>-12.061</v>
      </c>
      <c r="CV64" s="956">
        <f t="shared" si="133"/>
        <v>0</v>
      </c>
      <c r="CW64" s="956">
        <f t="shared" si="134"/>
        <v>9.3587152000000007</v>
      </c>
      <c r="CX64" s="956">
        <f t="shared" si="135"/>
        <v>-10.275524000000001</v>
      </c>
      <c r="CY64" s="1154">
        <f t="shared" si="136"/>
        <v>1.6404291704734464</v>
      </c>
      <c r="CZ64" s="1155">
        <f t="shared" si="137"/>
        <v>0.35991943588591513</v>
      </c>
      <c r="DA64" s="1137" t="e">
        <f>MIN(VLOOKUP(AP64,'CROP FACTORS'!$C$5:$N$130,2,FALSE),VLOOKUP(AQ64,'CROP FACTORS'!$C$5:$N$130,2,FALSE))</f>
        <v>#N/A</v>
      </c>
      <c r="DB64" s="956" t="e">
        <f>MIN(VLOOKUP(AP64,'CROP FACTORS'!$C$5:$N$130,4,FALSE),VLOOKUP(AQ64,'CROP FACTORS'!$C$5:$N$130,4,FALSE))</f>
        <v>#N/A</v>
      </c>
      <c r="DC64" s="1156" t="e">
        <f t="shared" si="138"/>
        <v>#N/A</v>
      </c>
      <c r="DD64" s="1138">
        <f t="shared" si="139"/>
        <v>1.07</v>
      </c>
      <c r="DE64" s="1157" t="str">
        <f t="shared" si="140"/>
        <v>.</v>
      </c>
      <c r="DF64" s="1138" t="e">
        <f t="shared" si="141"/>
        <v>#N/A</v>
      </c>
      <c r="DG64" s="1158" t="e">
        <f t="shared" si="142"/>
        <v>#N/A</v>
      </c>
      <c r="DH64" s="1159" t="str">
        <f t="shared" si="143"/>
        <v>.</v>
      </c>
      <c r="DI64" s="1153" t="e">
        <f t="shared" si="144"/>
        <v>#VALUE!</v>
      </c>
      <c r="DJ64" s="1133">
        <f t="shared" si="145"/>
        <v>5.8</v>
      </c>
      <c r="DK64" s="1160">
        <f t="shared" si="146"/>
        <v>2.9</v>
      </c>
      <c r="DL64" s="1134">
        <f t="shared" si="147"/>
        <v>2.1</v>
      </c>
      <c r="DM64" s="1161">
        <f t="shared" si="148"/>
        <v>148.1409181900901</v>
      </c>
      <c r="DN64" s="1144">
        <f t="shared" si="149"/>
        <v>52.142000000000003</v>
      </c>
      <c r="DO64" s="1162">
        <f t="shared" si="150"/>
        <v>0.98884919647208236</v>
      </c>
      <c r="DP64" s="1163">
        <f t="shared" si="151"/>
        <v>0.98884919647208236</v>
      </c>
      <c r="DQ64" s="1133">
        <f t="shared" si="152"/>
        <v>1.0541</v>
      </c>
      <c r="DR64" s="1134">
        <f t="shared" si="153"/>
        <v>-9.8099999999999993E-3</v>
      </c>
      <c r="DS64" s="1164">
        <f t="shared" si="154"/>
        <v>129.03</v>
      </c>
      <c r="DT64" s="1146">
        <f t="shared" si="155"/>
        <v>0.75682480233063865</v>
      </c>
      <c r="DU64" s="1165">
        <f t="shared" si="156"/>
        <v>0.86255768688360079</v>
      </c>
      <c r="DV64" s="1166">
        <f t="shared" si="157"/>
        <v>1</v>
      </c>
      <c r="DW64" s="1166">
        <f t="shared" si="158"/>
        <v>0.99966259205328889</v>
      </c>
      <c r="DX64" s="1166"/>
      <c r="DY64" s="1166">
        <f t="shared" si="159"/>
        <v>0.83916290977418639</v>
      </c>
      <c r="DZ64" s="1166">
        <f t="shared" si="160"/>
        <v>1</v>
      </c>
      <c r="EA64" s="1138"/>
      <c r="EB64" s="1166">
        <f t="shared" si="161"/>
        <v>0.35991943588591513</v>
      </c>
      <c r="EC64" s="1166"/>
      <c r="ED64" s="1138"/>
      <c r="EE64" s="1166">
        <f t="shared" si="162"/>
        <v>0.98884919647208236</v>
      </c>
      <c r="EF64" s="1140">
        <f t="shared" si="163"/>
        <v>0.75682480233063865</v>
      </c>
      <c r="EG64" s="1159">
        <f t="shared" si="164"/>
        <v>6.806976623399712</v>
      </c>
      <c r="EH64" s="1167">
        <f t="shared" si="165"/>
        <v>8</v>
      </c>
      <c r="EI64" s="1302">
        <f t="shared" si="166"/>
        <v>0.850872077924964</v>
      </c>
      <c r="EJ64" s="1168">
        <f t="shared" si="167"/>
        <v>1.359919435885915</v>
      </c>
      <c r="EK64" s="1169">
        <f t="shared" si="168"/>
        <v>2</v>
      </c>
      <c r="EL64" s="1170">
        <f t="shared" si="169"/>
        <v>0.67995971794295751</v>
      </c>
      <c r="EM64" s="1159">
        <f t="shared" si="170"/>
        <v>0.83916290977418639</v>
      </c>
      <c r="EN64" s="1167">
        <f t="shared" si="171"/>
        <v>1</v>
      </c>
      <c r="EO64" s="1171">
        <f t="shared" si="172"/>
        <v>0.83916290977418639</v>
      </c>
      <c r="EP64" s="1168">
        <f t="shared" si="173"/>
        <v>2.851069475408972</v>
      </c>
      <c r="EQ64" s="1169">
        <f t="shared" si="174"/>
        <v>3</v>
      </c>
      <c r="ER64" s="1146">
        <f t="shared" si="175"/>
        <v>0.95035649180299064</v>
      </c>
      <c r="ES64" s="1159">
        <f t="shared" si="176"/>
        <v>1.7568248023306388</v>
      </c>
      <c r="ET64" s="1167">
        <f t="shared" si="177"/>
        <v>2</v>
      </c>
      <c r="EU64" s="1155">
        <f t="shared" si="178"/>
        <v>0.87841240116531938</v>
      </c>
      <c r="EV64" s="1159">
        <f t="shared" si="179"/>
        <v>2.5959877121048249</v>
      </c>
      <c r="EW64" s="1167">
        <f t="shared" si="180"/>
        <v>3</v>
      </c>
      <c r="EX64" s="1155">
        <f t="shared" si="181"/>
        <v>0.86532923736827494</v>
      </c>
    </row>
    <row r="65" spans="2:154">
      <c r="B65" s="1218" t="s">
        <v>1274</v>
      </c>
      <c r="C65" s="1219">
        <v>1</v>
      </c>
      <c r="D65" s="1220" t="s">
        <v>1264</v>
      </c>
      <c r="E65" s="1220" t="s">
        <v>1265</v>
      </c>
      <c r="F65" s="1221" t="s">
        <v>1266</v>
      </c>
      <c r="V65" s="1278">
        <v>66.7</v>
      </c>
      <c r="W65" s="1262">
        <v>3.835</v>
      </c>
      <c r="X65" s="1283">
        <v>92.78</v>
      </c>
      <c r="Y65" s="1272">
        <v>1929.0711095013885</v>
      </c>
      <c r="Z65" s="1255" t="s">
        <v>1058</v>
      </c>
      <c r="AA65" s="1277">
        <v>4.6701999999999995</v>
      </c>
      <c r="AB65" s="1261">
        <v>15.6</v>
      </c>
      <c r="AC65" s="1294">
        <v>0.89305964347506916</v>
      </c>
      <c r="AD65" s="1271" t="s">
        <v>1058</v>
      </c>
      <c r="AE65" s="1271" t="s">
        <v>1058</v>
      </c>
      <c r="AF65" s="1254">
        <v>337.85450163302852</v>
      </c>
      <c r="AG65" s="1282">
        <v>211.53100000000001</v>
      </c>
      <c r="AH65" s="1253">
        <v>4</v>
      </c>
      <c r="AI65" s="1253">
        <v>4</v>
      </c>
      <c r="AJ65" s="1253">
        <v>4</v>
      </c>
      <c r="AK65" s="1253">
        <v>1</v>
      </c>
      <c r="AL65" s="1253">
        <v>2</v>
      </c>
      <c r="AM65" s="1253">
        <v>2</v>
      </c>
      <c r="AN65" s="1253">
        <v>3</v>
      </c>
      <c r="AO65" s="1253">
        <v>2</v>
      </c>
      <c r="AP65" s="1253">
        <v>107</v>
      </c>
      <c r="AQ65" s="1253"/>
      <c r="AR65" s="1253">
        <v>2</v>
      </c>
      <c r="AS65" s="1253">
        <v>5</v>
      </c>
      <c r="AT65" s="1253">
        <v>2</v>
      </c>
      <c r="AU65" s="1253"/>
      <c r="AV65" s="1133">
        <f t="shared" si="84"/>
        <v>3.81</v>
      </c>
      <c r="AW65" s="1134">
        <f t="shared" si="85"/>
        <v>1.05</v>
      </c>
      <c r="AX65" s="1134">
        <f t="shared" si="86"/>
        <v>0.15</v>
      </c>
      <c r="AY65" s="1135">
        <f t="shared" si="87"/>
        <v>3.835</v>
      </c>
      <c r="AZ65" s="1136">
        <f t="shared" si="88"/>
        <v>0.9999989098390446</v>
      </c>
      <c r="BA65" s="1137">
        <f t="shared" si="89"/>
        <v>0.89993809999999996</v>
      </c>
      <c r="BB65" s="956">
        <f t="shared" si="90"/>
        <v>1.1599999999999999</v>
      </c>
      <c r="BC65" s="1138">
        <f t="shared" si="91"/>
        <v>1</v>
      </c>
      <c r="BD65" s="1139">
        <f t="shared" si="92"/>
        <v>92.78</v>
      </c>
      <c r="BE65" s="1138">
        <f t="shared" si="93"/>
        <v>0.49301184839870038</v>
      </c>
      <c r="BF65" s="1140">
        <f t="shared" si="94"/>
        <v>1</v>
      </c>
      <c r="BG65" s="1137">
        <f t="shared" si="95"/>
        <v>0.03</v>
      </c>
      <c r="BH65" s="956">
        <f t="shared" si="96"/>
        <v>1</v>
      </c>
      <c r="BI65" s="956">
        <f t="shared" si="97"/>
        <v>1.08</v>
      </c>
      <c r="BJ65" s="956">
        <f t="shared" si="98"/>
        <v>0</v>
      </c>
      <c r="BK65" s="956">
        <f t="shared" si="99"/>
        <v>1.08</v>
      </c>
      <c r="BL65" s="956">
        <f t="shared" si="100"/>
        <v>0</v>
      </c>
      <c r="BM65" s="1141">
        <f t="shared" si="101"/>
        <v>1929.0711095013885</v>
      </c>
      <c r="BN65" s="1142">
        <f t="shared" si="102"/>
        <v>1</v>
      </c>
      <c r="BO65" s="1143">
        <f t="shared" si="103"/>
        <v>0.43227500000000002</v>
      </c>
      <c r="BP65" s="1144">
        <f t="shared" si="104"/>
        <v>0.9</v>
      </c>
      <c r="BQ65" s="1134">
        <f t="shared" si="105"/>
        <v>0.9</v>
      </c>
      <c r="BR65" s="1145" t="str">
        <f t="shared" si="106"/>
        <v>.</v>
      </c>
      <c r="BS65" s="1146" t="e">
        <f t="shared" si="107"/>
        <v>#VALUE!</v>
      </c>
      <c r="BT65" s="1147">
        <f>VLOOKUP(AP65,'CROP FACTORS'!$C$5:$N$130,7,FALSE)</f>
        <v>4.5</v>
      </c>
      <c r="BU65" s="1148">
        <f>VLOOKUP(AP65,'CROP FACTORS'!$C$5:$P$130,8,FALSE)</f>
        <v>1</v>
      </c>
      <c r="BV65" s="1149">
        <f t="shared" si="108"/>
        <v>4.6701999999999995</v>
      </c>
      <c r="BW65" s="1150">
        <f t="shared" si="109"/>
        <v>0.98562036882003268</v>
      </c>
      <c r="BX65" s="1137">
        <f>VLOOKUP(AP65,'CROP FACTORS'!$C$5:$N$130,10,FALSE)</f>
        <v>6</v>
      </c>
      <c r="BY65" s="1138">
        <f t="shared" si="110"/>
        <v>59.366173199999992</v>
      </c>
      <c r="BZ65" s="956">
        <f t="shared" si="111"/>
        <v>0.01</v>
      </c>
      <c r="CA65" s="956">
        <f t="shared" si="112"/>
        <v>1.01</v>
      </c>
      <c r="CB65" s="1148">
        <f t="shared" si="113"/>
        <v>61.665632869642188</v>
      </c>
      <c r="CC65" s="1148">
        <f t="shared" si="114"/>
        <v>60.55943328131999</v>
      </c>
      <c r="CD65" s="956">
        <f t="shared" si="115"/>
        <v>140</v>
      </c>
      <c r="CE65" s="956">
        <f t="shared" si="116"/>
        <v>90000</v>
      </c>
      <c r="CF65" s="956">
        <f t="shared" si="117"/>
        <v>1.4</v>
      </c>
      <c r="CG65" s="956">
        <f t="shared" si="118"/>
        <v>0.02</v>
      </c>
      <c r="CH65" s="956">
        <f t="shared" si="119"/>
        <v>130832.09999999999</v>
      </c>
      <c r="CI65" s="956">
        <f t="shared" si="120"/>
        <v>128519.99999999999</v>
      </c>
      <c r="CJ65" s="1138">
        <f t="shared" si="121"/>
        <v>1.25</v>
      </c>
      <c r="CK65" s="1138">
        <f t="shared" si="122"/>
        <v>2.1</v>
      </c>
      <c r="CL65" s="1138">
        <f t="shared" si="123"/>
        <v>1.25</v>
      </c>
      <c r="CM65" s="1138">
        <f t="shared" si="124"/>
        <v>1.25</v>
      </c>
      <c r="CN65" s="1151">
        <f t="shared" si="125"/>
        <v>15.6</v>
      </c>
      <c r="CO65" s="1138">
        <f t="shared" si="126"/>
        <v>1</v>
      </c>
      <c r="CP65" s="1138">
        <f t="shared" si="127"/>
        <v>1</v>
      </c>
      <c r="CQ65" s="1152">
        <f t="shared" si="128"/>
        <v>1</v>
      </c>
      <c r="CR65" s="1153">
        <f t="shared" si="129"/>
        <v>1</v>
      </c>
      <c r="CS65" s="1137">
        <f t="shared" si="130"/>
        <v>0.79600000000000004</v>
      </c>
      <c r="CT65" s="956">
        <f t="shared" si="131"/>
        <v>16.945</v>
      </c>
      <c r="CU65" s="956">
        <f t="shared" si="132"/>
        <v>-10.79</v>
      </c>
      <c r="CV65" s="956">
        <f t="shared" si="133"/>
        <v>0</v>
      </c>
      <c r="CW65" s="956">
        <f t="shared" si="134"/>
        <v>9.3587152000000007</v>
      </c>
      <c r="CX65" s="956">
        <f t="shared" si="135"/>
        <v>-10.275524000000001</v>
      </c>
      <c r="CY65" s="1154">
        <f t="shared" si="136"/>
        <v>0.89305964347506916</v>
      </c>
      <c r="CZ65" s="1155">
        <f t="shared" si="137"/>
        <v>0.99399999999991917</v>
      </c>
      <c r="DA65" s="1137" t="e">
        <f>MIN(VLOOKUP(AP65,'CROP FACTORS'!$C$5:$N$130,2,FALSE),VLOOKUP(AQ65,'CROP FACTORS'!$C$5:$N$130,2,FALSE))</f>
        <v>#N/A</v>
      </c>
      <c r="DB65" s="956" t="e">
        <f>MIN(VLOOKUP(AP65,'CROP FACTORS'!$C$5:$N$130,4,FALSE),VLOOKUP(AQ65,'CROP FACTORS'!$C$5:$N$130,4,FALSE))</f>
        <v>#N/A</v>
      </c>
      <c r="DC65" s="1156" t="e">
        <f t="shared" si="138"/>
        <v>#N/A</v>
      </c>
      <c r="DD65" s="1138">
        <f t="shared" si="139"/>
        <v>1.22</v>
      </c>
      <c r="DE65" s="1157" t="str">
        <f t="shared" si="140"/>
        <v>.</v>
      </c>
      <c r="DF65" s="1138" t="e">
        <f t="shared" si="141"/>
        <v>#N/A</v>
      </c>
      <c r="DG65" s="1158" t="e">
        <f t="shared" si="142"/>
        <v>#N/A</v>
      </c>
      <c r="DH65" s="1159" t="str">
        <f t="shared" si="143"/>
        <v>.</v>
      </c>
      <c r="DI65" s="1153" t="e">
        <f t="shared" si="144"/>
        <v>#VALUE!</v>
      </c>
      <c r="DJ65" s="1133">
        <f t="shared" si="145"/>
        <v>5.8</v>
      </c>
      <c r="DK65" s="1160">
        <f t="shared" si="146"/>
        <v>2.7</v>
      </c>
      <c r="DL65" s="1134">
        <f t="shared" si="147"/>
        <v>2.1</v>
      </c>
      <c r="DM65" s="1161">
        <f t="shared" si="148"/>
        <v>337.85450163302852</v>
      </c>
      <c r="DN65" s="1144">
        <f t="shared" si="149"/>
        <v>48.546000000000006</v>
      </c>
      <c r="DO65" s="1162">
        <f t="shared" si="150"/>
        <v>1.0099963179398437</v>
      </c>
      <c r="DP65" s="1163">
        <f t="shared" si="151"/>
        <v>1</v>
      </c>
      <c r="DQ65" s="1133">
        <f t="shared" si="152"/>
        <v>1.0745</v>
      </c>
      <c r="DR65" s="1134">
        <f t="shared" si="153"/>
        <v>-1.3429999999999999E-2</v>
      </c>
      <c r="DS65" s="1164">
        <f t="shared" si="154"/>
        <v>211.53100000000001</v>
      </c>
      <c r="DT65" s="1146">
        <f t="shared" si="155"/>
        <v>1</v>
      </c>
      <c r="DU65" s="1165">
        <f t="shared" si="156"/>
        <v>0.9999989098390446</v>
      </c>
      <c r="DV65" s="1166">
        <f t="shared" si="157"/>
        <v>1</v>
      </c>
      <c r="DW65" s="1166">
        <f t="shared" si="158"/>
        <v>1</v>
      </c>
      <c r="DX65" s="1166"/>
      <c r="DY65" s="1166">
        <f t="shared" si="159"/>
        <v>0.98562036882003268</v>
      </c>
      <c r="DZ65" s="1166">
        <f t="shared" si="160"/>
        <v>1</v>
      </c>
      <c r="EA65" s="1138"/>
      <c r="EB65" s="1166">
        <f t="shared" si="161"/>
        <v>0.99399999999991917</v>
      </c>
      <c r="EC65" s="1166"/>
      <c r="ED65" s="1138"/>
      <c r="EE65" s="1166">
        <f t="shared" si="162"/>
        <v>1</v>
      </c>
      <c r="EF65" s="1140">
        <f t="shared" si="163"/>
        <v>1</v>
      </c>
      <c r="EG65" s="1159">
        <f t="shared" si="164"/>
        <v>7.9796192786589968</v>
      </c>
      <c r="EH65" s="1167">
        <f t="shared" si="165"/>
        <v>8</v>
      </c>
      <c r="EI65" s="1312">
        <f t="shared" si="166"/>
        <v>0.9974524098323746</v>
      </c>
      <c r="EJ65" s="1168">
        <f t="shared" si="167"/>
        <v>1.9939999999999192</v>
      </c>
      <c r="EK65" s="1169">
        <f t="shared" si="168"/>
        <v>2</v>
      </c>
      <c r="EL65" s="1170">
        <f t="shared" si="169"/>
        <v>0.99699999999995959</v>
      </c>
      <c r="EM65" s="1159">
        <f t="shared" si="170"/>
        <v>0.98562036882003268</v>
      </c>
      <c r="EN65" s="1167">
        <f t="shared" si="171"/>
        <v>1</v>
      </c>
      <c r="EO65" s="1171">
        <f t="shared" si="172"/>
        <v>0.98562036882003268</v>
      </c>
      <c r="EP65" s="1168">
        <f t="shared" si="173"/>
        <v>2.9999989098390447</v>
      </c>
      <c r="EQ65" s="1169">
        <f t="shared" si="174"/>
        <v>3</v>
      </c>
      <c r="ER65" s="1146">
        <f t="shared" si="175"/>
        <v>0.99999963661301494</v>
      </c>
      <c r="ES65" s="1159">
        <f t="shared" si="176"/>
        <v>2</v>
      </c>
      <c r="ET65" s="1167">
        <f t="shared" si="177"/>
        <v>2</v>
      </c>
      <c r="EU65" s="1155">
        <f t="shared" si="178"/>
        <v>1</v>
      </c>
      <c r="EV65" s="1159">
        <f t="shared" si="179"/>
        <v>2.9856203688200327</v>
      </c>
      <c r="EW65" s="1167">
        <f t="shared" si="180"/>
        <v>3</v>
      </c>
      <c r="EX65" s="1155">
        <f t="shared" si="181"/>
        <v>0.99520678960667752</v>
      </c>
    </row>
    <row r="66" spans="2:154">
      <c r="B66" s="1218" t="s">
        <v>1274</v>
      </c>
      <c r="C66" s="1219">
        <v>2</v>
      </c>
      <c r="D66" s="1220" t="s">
        <v>1264</v>
      </c>
      <c r="E66" s="1220" t="s">
        <v>1265</v>
      </c>
      <c r="F66" s="1221" t="s">
        <v>1266</v>
      </c>
      <c r="V66" s="1278">
        <v>66.400000000000006</v>
      </c>
      <c r="W66" s="1262">
        <v>3.875</v>
      </c>
      <c r="X66" s="1283">
        <v>96.61999999999999</v>
      </c>
      <c r="Y66" s="1272">
        <v>2493.7700534759351</v>
      </c>
      <c r="Z66" s="1255" t="s">
        <v>1058</v>
      </c>
      <c r="AA66" s="1277">
        <v>4.5780000000000003</v>
      </c>
      <c r="AB66" s="1261">
        <v>18.8</v>
      </c>
      <c r="AC66" s="1282">
        <v>1.0193970061142736</v>
      </c>
      <c r="AD66" s="1271" t="s">
        <v>1058</v>
      </c>
      <c r="AE66" s="1271" t="s">
        <v>1058</v>
      </c>
      <c r="AF66" s="1254">
        <v>460.28252382984778</v>
      </c>
      <c r="AG66" s="1282">
        <v>133.33099999999999</v>
      </c>
      <c r="AH66" s="1253">
        <v>4</v>
      </c>
      <c r="AI66" s="1280">
        <v>4</v>
      </c>
      <c r="AJ66" s="1280">
        <v>4</v>
      </c>
      <c r="AK66" s="1253">
        <v>1</v>
      </c>
      <c r="AL66" s="1253">
        <v>2</v>
      </c>
      <c r="AM66" s="1253">
        <v>2</v>
      </c>
      <c r="AN66" s="1253">
        <v>3</v>
      </c>
      <c r="AO66" s="1253">
        <v>2</v>
      </c>
      <c r="AP66" s="1253">
        <v>107</v>
      </c>
      <c r="AQ66" s="1253"/>
      <c r="AR66" s="1253">
        <v>2</v>
      </c>
      <c r="AS66" s="1253">
        <v>5</v>
      </c>
      <c r="AT66" s="1253">
        <v>2</v>
      </c>
      <c r="AU66" s="1253"/>
      <c r="AV66" s="1133">
        <f t="shared" si="84"/>
        <v>3.81</v>
      </c>
      <c r="AW66" s="1134">
        <f t="shared" si="85"/>
        <v>1.05</v>
      </c>
      <c r="AX66" s="1134">
        <f t="shared" si="86"/>
        <v>0.15</v>
      </c>
      <c r="AY66" s="1135">
        <f t="shared" si="87"/>
        <v>3.875</v>
      </c>
      <c r="AZ66" s="1136">
        <f t="shared" si="88"/>
        <v>0.99999909307676249</v>
      </c>
      <c r="BA66" s="1137">
        <f t="shared" si="89"/>
        <v>0.89993809999999996</v>
      </c>
      <c r="BB66" s="956">
        <f t="shared" si="90"/>
        <v>1.1599999999999999</v>
      </c>
      <c r="BC66" s="1138">
        <f t="shared" si="91"/>
        <v>1</v>
      </c>
      <c r="BD66" s="1139">
        <f t="shared" si="92"/>
        <v>96.61999999999999</v>
      </c>
      <c r="BE66" s="1138">
        <f t="shared" si="93"/>
        <v>0.39474583397976437</v>
      </c>
      <c r="BF66" s="1140">
        <f t="shared" si="94"/>
        <v>1</v>
      </c>
      <c r="BG66" s="1137">
        <f t="shared" si="95"/>
        <v>0.03</v>
      </c>
      <c r="BH66" s="956">
        <f t="shared" si="96"/>
        <v>1</v>
      </c>
      <c r="BI66" s="956">
        <f t="shared" si="97"/>
        <v>1.08</v>
      </c>
      <c r="BJ66" s="956">
        <f t="shared" si="98"/>
        <v>0</v>
      </c>
      <c r="BK66" s="956">
        <f t="shared" si="99"/>
        <v>1.08</v>
      </c>
      <c r="BL66" s="956">
        <f t="shared" si="100"/>
        <v>0</v>
      </c>
      <c r="BM66" s="1141">
        <f t="shared" si="101"/>
        <v>2493.7700534759351</v>
      </c>
      <c r="BN66" s="1142">
        <f t="shared" si="102"/>
        <v>1</v>
      </c>
      <c r="BO66" s="1143">
        <f t="shared" si="103"/>
        <v>0.43227500000000002</v>
      </c>
      <c r="BP66" s="1144">
        <f t="shared" si="104"/>
        <v>0.9</v>
      </c>
      <c r="BQ66" s="1134">
        <f t="shared" si="105"/>
        <v>0.9</v>
      </c>
      <c r="BR66" s="1145" t="str">
        <f t="shared" si="106"/>
        <v>.</v>
      </c>
      <c r="BS66" s="1146" t="e">
        <f t="shared" si="107"/>
        <v>#VALUE!</v>
      </c>
      <c r="BT66" s="1147">
        <f>VLOOKUP(AP66,'CROP FACTORS'!$C$5:$N$130,7,FALSE)</f>
        <v>4.5</v>
      </c>
      <c r="BU66" s="1148">
        <f>VLOOKUP(AP66,'CROP FACTORS'!$C$5:$P$130,8,FALSE)</f>
        <v>1</v>
      </c>
      <c r="BV66" s="1149">
        <f t="shared" si="108"/>
        <v>4.5780000000000003</v>
      </c>
      <c r="BW66" s="1150">
        <f t="shared" si="109"/>
        <v>0.99696262219390741</v>
      </c>
      <c r="BX66" s="1137">
        <f>VLOOKUP(AP66,'CROP FACTORS'!$C$5:$N$130,10,FALSE)</f>
        <v>6</v>
      </c>
      <c r="BY66" s="1138">
        <f t="shared" si="110"/>
        <v>59.366173199999992</v>
      </c>
      <c r="BZ66" s="956">
        <f t="shared" si="111"/>
        <v>0.01</v>
      </c>
      <c r="CA66" s="956">
        <f t="shared" si="112"/>
        <v>1.01</v>
      </c>
      <c r="CB66" s="1148">
        <f t="shared" si="113"/>
        <v>61.689616803614989</v>
      </c>
      <c r="CC66" s="1148">
        <f t="shared" si="114"/>
        <v>60.55943328131999</v>
      </c>
      <c r="CD66" s="956">
        <f t="shared" si="115"/>
        <v>140</v>
      </c>
      <c r="CE66" s="956">
        <f t="shared" si="116"/>
        <v>90000</v>
      </c>
      <c r="CF66" s="956">
        <f t="shared" si="117"/>
        <v>1.4</v>
      </c>
      <c r="CG66" s="956">
        <f t="shared" si="118"/>
        <v>0.02</v>
      </c>
      <c r="CH66" s="956">
        <f t="shared" si="119"/>
        <v>130882.49999999999</v>
      </c>
      <c r="CI66" s="956">
        <f t="shared" si="120"/>
        <v>128519.99999999999</v>
      </c>
      <c r="CJ66" s="1138">
        <f t="shared" si="121"/>
        <v>1.25</v>
      </c>
      <c r="CK66" s="1138">
        <f t="shared" si="122"/>
        <v>2.1</v>
      </c>
      <c r="CL66" s="1138">
        <f t="shared" si="123"/>
        <v>1.25</v>
      </c>
      <c r="CM66" s="1138">
        <f t="shared" si="124"/>
        <v>1.25</v>
      </c>
      <c r="CN66" s="1151">
        <f t="shared" si="125"/>
        <v>18.8</v>
      </c>
      <c r="CO66" s="1138">
        <f t="shared" si="126"/>
        <v>1</v>
      </c>
      <c r="CP66" s="1138">
        <f t="shared" si="127"/>
        <v>1</v>
      </c>
      <c r="CQ66" s="1152">
        <f t="shared" si="128"/>
        <v>1</v>
      </c>
      <c r="CR66" s="1153">
        <f t="shared" si="129"/>
        <v>1</v>
      </c>
      <c r="CS66" s="1137">
        <f t="shared" si="130"/>
        <v>0.79600000000000004</v>
      </c>
      <c r="CT66" s="956">
        <f t="shared" si="131"/>
        <v>16.945</v>
      </c>
      <c r="CU66" s="956">
        <f t="shared" si="132"/>
        <v>-10.79</v>
      </c>
      <c r="CV66" s="956">
        <f t="shared" si="133"/>
        <v>0</v>
      </c>
      <c r="CW66" s="956">
        <f t="shared" si="134"/>
        <v>9.3587152000000007</v>
      </c>
      <c r="CX66" s="956">
        <f t="shared" si="135"/>
        <v>-10.275524000000001</v>
      </c>
      <c r="CY66" s="1154">
        <f t="shared" si="136"/>
        <v>1.0193970061142736</v>
      </c>
      <c r="CZ66" s="1155">
        <f t="shared" si="137"/>
        <v>0.99363306500201976</v>
      </c>
      <c r="DA66" s="1137" t="e">
        <f>MIN(VLOOKUP(AP66,'CROP FACTORS'!$C$5:$N$130,2,FALSE),VLOOKUP(AQ66,'CROP FACTORS'!$C$5:$N$130,2,FALSE))</f>
        <v>#N/A</v>
      </c>
      <c r="DB66" s="956" t="e">
        <f>MIN(VLOOKUP(AP66,'CROP FACTORS'!$C$5:$N$130,4,FALSE),VLOOKUP(AQ66,'CROP FACTORS'!$C$5:$N$130,4,FALSE))</f>
        <v>#N/A</v>
      </c>
      <c r="DC66" s="1156" t="e">
        <f t="shared" si="138"/>
        <v>#N/A</v>
      </c>
      <c r="DD66" s="1138">
        <f t="shared" si="139"/>
        <v>1.22</v>
      </c>
      <c r="DE66" s="1157" t="str">
        <f t="shared" si="140"/>
        <v>.</v>
      </c>
      <c r="DF66" s="1138" t="e">
        <f t="shared" si="141"/>
        <v>#N/A</v>
      </c>
      <c r="DG66" s="1158" t="e">
        <f t="shared" si="142"/>
        <v>#N/A</v>
      </c>
      <c r="DH66" s="1159" t="str">
        <f t="shared" si="143"/>
        <v>.</v>
      </c>
      <c r="DI66" s="1153" t="e">
        <f t="shared" si="144"/>
        <v>#VALUE!</v>
      </c>
      <c r="DJ66" s="1133">
        <f t="shared" si="145"/>
        <v>5.8</v>
      </c>
      <c r="DK66" s="1160">
        <f t="shared" si="146"/>
        <v>2.7</v>
      </c>
      <c r="DL66" s="1134">
        <f t="shared" si="147"/>
        <v>2.1</v>
      </c>
      <c r="DM66" s="1161">
        <f t="shared" si="148"/>
        <v>460.28252382984778</v>
      </c>
      <c r="DN66" s="1144">
        <f t="shared" si="149"/>
        <v>48.546000000000006</v>
      </c>
      <c r="DO66" s="1162">
        <f t="shared" si="150"/>
        <v>1.0099999903414787</v>
      </c>
      <c r="DP66" s="1163">
        <f t="shared" si="151"/>
        <v>1</v>
      </c>
      <c r="DQ66" s="1133">
        <f t="shared" si="152"/>
        <v>1.0745</v>
      </c>
      <c r="DR66" s="1134">
        <f t="shared" si="153"/>
        <v>-1.3429999999999999E-2</v>
      </c>
      <c r="DS66" s="1164">
        <f t="shared" si="154"/>
        <v>133.33099999999999</v>
      </c>
      <c r="DT66" s="1146">
        <f t="shared" si="155"/>
        <v>0.89521523887134447</v>
      </c>
      <c r="DU66" s="1165">
        <f t="shared" si="156"/>
        <v>0.99999909307676249</v>
      </c>
      <c r="DV66" s="1166">
        <f t="shared" si="157"/>
        <v>1</v>
      </c>
      <c r="DW66" s="1166">
        <f t="shared" si="158"/>
        <v>1</v>
      </c>
      <c r="DX66" s="1166"/>
      <c r="DY66" s="1166">
        <f t="shared" si="159"/>
        <v>0.99696262219390741</v>
      </c>
      <c r="DZ66" s="1166">
        <f t="shared" si="160"/>
        <v>1</v>
      </c>
      <c r="EA66" s="1138"/>
      <c r="EB66" s="1166">
        <f t="shared" si="161"/>
        <v>0.99363306500201976</v>
      </c>
      <c r="EC66" s="1166"/>
      <c r="ED66" s="1138"/>
      <c r="EE66" s="1166">
        <f t="shared" si="162"/>
        <v>1</v>
      </c>
      <c r="EF66" s="1140">
        <f t="shared" si="163"/>
        <v>0.89521523887134447</v>
      </c>
      <c r="EG66" s="1159">
        <f t="shared" si="164"/>
        <v>7.8858100191440341</v>
      </c>
      <c r="EH66" s="1167">
        <f t="shared" si="165"/>
        <v>8</v>
      </c>
      <c r="EI66" s="1312">
        <f t="shared" si="166"/>
        <v>0.98572625239300427</v>
      </c>
      <c r="EJ66" s="1168">
        <f t="shared" si="167"/>
        <v>1.9936330650020198</v>
      </c>
      <c r="EK66" s="1169">
        <f t="shared" si="168"/>
        <v>2</v>
      </c>
      <c r="EL66" s="1170">
        <f t="shared" si="169"/>
        <v>0.99681653250100988</v>
      </c>
      <c r="EM66" s="1159">
        <f t="shared" si="170"/>
        <v>0.99696262219390741</v>
      </c>
      <c r="EN66" s="1167">
        <f t="shared" si="171"/>
        <v>1</v>
      </c>
      <c r="EO66" s="1171">
        <f t="shared" si="172"/>
        <v>0.99696262219390741</v>
      </c>
      <c r="EP66" s="1168">
        <f t="shared" si="173"/>
        <v>2.9999990930767626</v>
      </c>
      <c r="EQ66" s="1169">
        <f t="shared" si="174"/>
        <v>3</v>
      </c>
      <c r="ER66" s="1146">
        <f t="shared" si="175"/>
        <v>0.99999969769225416</v>
      </c>
      <c r="ES66" s="1159">
        <f t="shared" si="176"/>
        <v>1.8952152388713444</v>
      </c>
      <c r="ET66" s="1167">
        <f t="shared" si="177"/>
        <v>2</v>
      </c>
      <c r="EU66" s="1155">
        <f t="shared" si="178"/>
        <v>0.94760761943567218</v>
      </c>
      <c r="EV66" s="1159">
        <f t="shared" si="179"/>
        <v>2.8921778610652518</v>
      </c>
      <c r="EW66" s="1167">
        <f t="shared" si="180"/>
        <v>3</v>
      </c>
      <c r="EX66" s="1155">
        <f t="shared" si="181"/>
        <v>0.96405928702175059</v>
      </c>
    </row>
    <row r="67" spans="2:154">
      <c r="B67" s="1218" t="s">
        <v>1274</v>
      </c>
      <c r="C67" s="1219">
        <v>3</v>
      </c>
      <c r="D67" s="1220" t="s">
        <v>1264</v>
      </c>
      <c r="E67" s="1220" t="s">
        <v>1265</v>
      </c>
      <c r="F67" s="1221" t="s">
        <v>1266</v>
      </c>
      <c r="V67" s="1278">
        <v>68.8</v>
      </c>
      <c r="W67" s="1262">
        <v>3.7950000000000004</v>
      </c>
      <c r="X67" s="1283">
        <v>95.966666666666669</v>
      </c>
      <c r="Y67" s="1272">
        <v>2506.9174655647389</v>
      </c>
      <c r="Z67" s="1255" t="s">
        <v>1058</v>
      </c>
      <c r="AA67" s="1277">
        <v>3.9326000000000003</v>
      </c>
      <c r="AB67" s="1261">
        <v>14.6</v>
      </c>
      <c r="AC67" s="1282">
        <v>0.8817672827793005</v>
      </c>
      <c r="AD67" s="1271" t="s">
        <v>1058</v>
      </c>
      <c r="AE67" s="1271" t="s">
        <v>1058</v>
      </c>
      <c r="AF67" s="1254">
        <v>439.55864406779648</v>
      </c>
      <c r="AG67" s="1282">
        <v>108.30699999999999</v>
      </c>
      <c r="AH67" s="1253">
        <v>4</v>
      </c>
      <c r="AI67" s="1280">
        <v>4</v>
      </c>
      <c r="AJ67" s="1280">
        <v>4</v>
      </c>
      <c r="AK67" s="1253">
        <v>1</v>
      </c>
      <c r="AL67" s="1253">
        <v>2</v>
      </c>
      <c r="AM67" s="1253">
        <v>2</v>
      </c>
      <c r="AN67" s="1253">
        <v>3</v>
      </c>
      <c r="AO67" s="1253">
        <v>2</v>
      </c>
      <c r="AP67" s="1253">
        <v>107</v>
      </c>
      <c r="AQ67" s="1253"/>
      <c r="AR67" s="1253">
        <v>2</v>
      </c>
      <c r="AS67" s="1253">
        <v>5</v>
      </c>
      <c r="AT67" s="1253">
        <v>2</v>
      </c>
      <c r="AU67" s="1253"/>
      <c r="AV67" s="1133">
        <f t="shared" si="84"/>
        <v>3.81</v>
      </c>
      <c r="AW67" s="1134">
        <f t="shared" si="85"/>
        <v>1.05</v>
      </c>
      <c r="AX67" s="1134">
        <f t="shared" si="86"/>
        <v>0.15</v>
      </c>
      <c r="AY67" s="1135">
        <f t="shared" si="87"/>
        <v>3.7950000000000004</v>
      </c>
      <c r="AZ67" s="1136">
        <f t="shared" si="88"/>
        <v>0.99999868957943117</v>
      </c>
      <c r="BA67" s="1137">
        <f t="shared" si="89"/>
        <v>0.89993809999999996</v>
      </c>
      <c r="BB67" s="956">
        <f t="shared" si="90"/>
        <v>1.1599999999999999</v>
      </c>
      <c r="BC67" s="1138">
        <f t="shared" si="91"/>
        <v>1</v>
      </c>
      <c r="BD67" s="1139">
        <f t="shared" si="92"/>
        <v>95.966666666666669</v>
      </c>
      <c r="BE67" s="1138">
        <f t="shared" si="93"/>
        <v>0.41195528004470494</v>
      </c>
      <c r="BF67" s="1140">
        <f t="shared" si="94"/>
        <v>1</v>
      </c>
      <c r="BG67" s="1137">
        <f t="shared" si="95"/>
        <v>0.03</v>
      </c>
      <c r="BH67" s="956">
        <f t="shared" si="96"/>
        <v>1</v>
      </c>
      <c r="BI67" s="956">
        <f t="shared" si="97"/>
        <v>1.08</v>
      </c>
      <c r="BJ67" s="956">
        <f t="shared" si="98"/>
        <v>0</v>
      </c>
      <c r="BK67" s="956">
        <f t="shared" si="99"/>
        <v>1.08</v>
      </c>
      <c r="BL67" s="956">
        <f t="shared" si="100"/>
        <v>0</v>
      </c>
      <c r="BM67" s="1141">
        <f t="shared" si="101"/>
        <v>2506.9174655647389</v>
      </c>
      <c r="BN67" s="1142">
        <f t="shared" si="102"/>
        <v>1</v>
      </c>
      <c r="BO67" s="1143">
        <f t="shared" si="103"/>
        <v>0.43227500000000002</v>
      </c>
      <c r="BP67" s="1144">
        <f t="shared" si="104"/>
        <v>0.9</v>
      </c>
      <c r="BQ67" s="1134">
        <f t="shared" si="105"/>
        <v>0.9</v>
      </c>
      <c r="BR67" s="1145" t="str">
        <f t="shared" si="106"/>
        <v>.</v>
      </c>
      <c r="BS67" s="1146" t="e">
        <f t="shared" si="107"/>
        <v>#VALUE!</v>
      </c>
      <c r="BT67" s="1147">
        <f>VLOOKUP(AP67,'CROP FACTORS'!$C$5:$N$130,7,FALSE)</f>
        <v>4.5</v>
      </c>
      <c r="BU67" s="1148">
        <f>VLOOKUP(AP67,'CROP FACTORS'!$C$5:$P$130,8,FALSE)</f>
        <v>1</v>
      </c>
      <c r="BV67" s="1149">
        <f t="shared" si="108"/>
        <v>3.9326000000000003</v>
      </c>
      <c r="BW67" s="1150">
        <f t="shared" si="109"/>
        <v>0.85131643543487823</v>
      </c>
      <c r="BX67" s="1137">
        <f>VLOOKUP(AP67,'CROP FACTORS'!$C$5:$N$130,10,FALSE)</f>
        <v>6</v>
      </c>
      <c r="BY67" s="1138">
        <f t="shared" si="110"/>
        <v>59.366173199999992</v>
      </c>
      <c r="BZ67" s="956">
        <f t="shared" si="111"/>
        <v>0.01</v>
      </c>
      <c r="CA67" s="956">
        <f t="shared" si="112"/>
        <v>1.01</v>
      </c>
      <c r="CB67" s="1148">
        <f t="shared" si="113"/>
        <v>61.641648935669394</v>
      </c>
      <c r="CC67" s="1148">
        <f t="shared" si="114"/>
        <v>60.55943328131999</v>
      </c>
      <c r="CD67" s="956">
        <f t="shared" si="115"/>
        <v>140</v>
      </c>
      <c r="CE67" s="956">
        <f t="shared" si="116"/>
        <v>90000</v>
      </c>
      <c r="CF67" s="956">
        <f t="shared" si="117"/>
        <v>1.4</v>
      </c>
      <c r="CG67" s="956">
        <f t="shared" si="118"/>
        <v>0.02</v>
      </c>
      <c r="CH67" s="956">
        <f t="shared" si="119"/>
        <v>130781.7</v>
      </c>
      <c r="CI67" s="956">
        <f t="shared" si="120"/>
        <v>128519.99999999999</v>
      </c>
      <c r="CJ67" s="1138">
        <f t="shared" si="121"/>
        <v>1.25</v>
      </c>
      <c r="CK67" s="1138">
        <f t="shared" si="122"/>
        <v>2.1</v>
      </c>
      <c r="CL67" s="1138">
        <f t="shared" si="123"/>
        <v>1.25</v>
      </c>
      <c r="CM67" s="1138">
        <f t="shared" si="124"/>
        <v>1.25</v>
      </c>
      <c r="CN67" s="1151">
        <f t="shared" si="125"/>
        <v>14.6</v>
      </c>
      <c r="CO67" s="1138">
        <f t="shared" si="126"/>
        <v>1</v>
      </c>
      <c r="CP67" s="1138">
        <f t="shared" si="127"/>
        <v>1</v>
      </c>
      <c r="CQ67" s="1152">
        <f t="shared" si="128"/>
        <v>1</v>
      </c>
      <c r="CR67" s="1153">
        <f t="shared" si="129"/>
        <v>1</v>
      </c>
      <c r="CS67" s="1137">
        <f t="shared" si="130"/>
        <v>0.79600000000000004</v>
      </c>
      <c r="CT67" s="956">
        <f t="shared" si="131"/>
        <v>16.945</v>
      </c>
      <c r="CU67" s="956">
        <f t="shared" si="132"/>
        <v>-10.79</v>
      </c>
      <c r="CV67" s="956">
        <f t="shared" si="133"/>
        <v>0</v>
      </c>
      <c r="CW67" s="956">
        <f t="shared" si="134"/>
        <v>9.3587152000000007</v>
      </c>
      <c r="CX67" s="956">
        <f t="shared" si="135"/>
        <v>-10.275524000000001</v>
      </c>
      <c r="CY67" s="1154">
        <f t="shared" si="136"/>
        <v>0.8817672827793005</v>
      </c>
      <c r="CZ67" s="1155">
        <f t="shared" si="137"/>
        <v>0.99399999999999877</v>
      </c>
      <c r="DA67" s="1137" t="e">
        <f>MIN(VLOOKUP(AP67,'CROP FACTORS'!$C$5:$N$130,2,FALSE),VLOOKUP(AQ67,'CROP FACTORS'!$C$5:$N$130,2,FALSE))</f>
        <v>#N/A</v>
      </c>
      <c r="DB67" s="956" t="e">
        <f>MIN(VLOOKUP(AP67,'CROP FACTORS'!$C$5:$N$130,4,FALSE),VLOOKUP(AQ67,'CROP FACTORS'!$C$5:$N$130,4,FALSE))</f>
        <v>#N/A</v>
      </c>
      <c r="DC67" s="1156" t="e">
        <f t="shared" si="138"/>
        <v>#N/A</v>
      </c>
      <c r="DD67" s="1138">
        <f t="shared" si="139"/>
        <v>1.22</v>
      </c>
      <c r="DE67" s="1157" t="str">
        <f t="shared" si="140"/>
        <v>.</v>
      </c>
      <c r="DF67" s="1138" t="e">
        <f t="shared" si="141"/>
        <v>#N/A</v>
      </c>
      <c r="DG67" s="1158" t="e">
        <f t="shared" si="142"/>
        <v>#N/A</v>
      </c>
      <c r="DH67" s="1159" t="str">
        <f t="shared" si="143"/>
        <v>.</v>
      </c>
      <c r="DI67" s="1153" t="e">
        <f t="shared" si="144"/>
        <v>#VALUE!</v>
      </c>
      <c r="DJ67" s="1133">
        <f t="shared" si="145"/>
        <v>5.8</v>
      </c>
      <c r="DK67" s="1160">
        <f t="shared" si="146"/>
        <v>2.7</v>
      </c>
      <c r="DL67" s="1134">
        <f t="shared" si="147"/>
        <v>2.1</v>
      </c>
      <c r="DM67" s="1161">
        <f t="shared" si="148"/>
        <v>439.55864406779648</v>
      </c>
      <c r="DN67" s="1144">
        <f t="shared" si="149"/>
        <v>48.546000000000006</v>
      </c>
      <c r="DO67" s="1162">
        <f t="shared" si="150"/>
        <v>1.0099999735857927</v>
      </c>
      <c r="DP67" s="1163">
        <f t="shared" si="151"/>
        <v>1</v>
      </c>
      <c r="DQ67" s="1133">
        <f t="shared" si="152"/>
        <v>1.0745</v>
      </c>
      <c r="DR67" s="1134">
        <f t="shared" si="153"/>
        <v>-1.3429999999999999E-2</v>
      </c>
      <c r="DS67" s="1164">
        <f t="shared" si="154"/>
        <v>108.30699999999999</v>
      </c>
      <c r="DT67" s="1146">
        <f t="shared" si="155"/>
        <v>0.82360169288930241</v>
      </c>
      <c r="DU67" s="1165">
        <f t="shared" si="156"/>
        <v>0.99999868957943117</v>
      </c>
      <c r="DV67" s="1166">
        <f t="shared" si="157"/>
        <v>1</v>
      </c>
      <c r="DW67" s="1166">
        <f t="shared" si="158"/>
        <v>1</v>
      </c>
      <c r="DX67" s="1166"/>
      <c r="DY67" s="1166">
        <f t="shared" si="159"/>
        <v>0.85131643543487823</v>
      </c>
      <c r="DZ67" s="1166">
        <f t="shared" si="160"/>
        <v>1</v>
      </c>
      <c r="EA67" s="1138"/>
      <c r="EB67" s="1166">
        <f t="shared" si="161"/>
        <v>0.99399999999999877</v>
      </c>
      <c r="EC67" s="1166"/>
      <c r="ED67" s="1138"/>
      <c r="EE67" s="1166">
        <f t="shared" si="162"/>
        <v>1</v>
      </c>
      <c r="EF67" s="1140">
        <f t="shared" si="163"/>
        <v>0.82360169288930241</v>
      </c>
      <c r="EG67" s="1159">
        <f t="shared" si="164"/>
        <v>7.6689168179036109</v>
      </c>
      <c r="EH67" s="1167">
        <f t="shared" si="165"/>
        <v>8</v>
      </c>
      <c r="EI67" s="1312">
        <f t="shared" si="166"/>
        <v>0.95861460223795136</v>
      </c>
      <c r="EJ67" s="1168">
        <f t="shared" si="167"/>
        <v>1.9939999999999989</v>
      </c>
      <c r="EK67" s="1169">
        <f t="shared" si="168"/>
        <v>2</v>
      </c>
      <c r="EL67" s="1170">
        <f t="shared" si="169"/>
        <v>0.99699999999999944</v>
      </c>
      <c r="EM67" s="1159">
        <f t="shared" si="170"/>
        <v>0.85131643543487823</v>
      </c>
      <c r="EN67" s="1167">
        <f t="shared" si="171"/>
        <v>1</v>
      </c>
      <c r="EO67" s="1171">
        <f t="shared" si="172"/>
        <v>0.85131643543487823</v>
      </c>
      <c r="EP67" s="1168">
        <f t="shared" si="173"/>
        <v>2.9999986895794311</v>
      </c>
      <c r="EQ67" s="1169">
        <f t="shared" si="174"/>
        <v>3</v>
      </c>
      <c r="ER67" s="1146">
        <f t="shared" si="175"/>
        <v>0.99999956319314365</v>
      </c>
      <c r="ES67" s="1159">
        <f t="shared" si="176"/>
        <v>1.8236016928893024</v>
      </c>
      <c r="ET67" s="1167">
        <f t="shared" si="177"/>
        <v>2</v>
      </c>
      <c r="EU67" s="1155">
        <f t="shared" si="178"/>
        <v>0.9118008464446512</v>
      </c>
      <c r="EV67" s="1159">
        <f t="shared" si="179"/>
        <v>2.6749181283241805</v>
      </c>
      <c r="EW67" s="1167">
        <f t="shared" si="180"/>
        <v>3</v>
      </c>
      <c r="EX67" s="1155">
        <f t="shared" si="181"/>
        <v>0.89163937610806021</v>
      </c>
    </row>
    <row r="68" spans="2:154">
      <c r="B68" s="1218" t="s">
        <v>1274</v>
      </c>
      <c r="C68" s="1219">
        <v>4</v>
      </c>
      <c r="D68" s="1220" t="s">
        <v>1264</v>
      </c>
      <c r="E68" s="1220" t="s">
        <v>1265</v>
      </c>
      <c r="F68" s="1221" t="s">
        <v>1266</v>
      </c>
      <c r="V68" s="1278">
        <v>69</v>
      </c>
      <c r="W68" s="1262">
        <v>3.79</v>
      </c>
      <c r="X68" s="1283">
        <v>93.64</v>
      </c>
      <c r="Y68" s="1272">
        <v>1268.4136016655102</v>
      </c>
      <c r="Z68" s="1255" t="s">
        <v>1058</v>
      </c>
      <c r="AA68" s="1277">
        <v>4.3014000000000001</v>
      </c>
      <c r="AB68" s="1261">
        <v>15.6</v>
      </c>
      <c r="AC68" s="1282">
        <v>0.9041394335511983</v>
      </c>
      <c r="AD68" s="1271" t="s">
        <v>1058</v>
      </c>
      <c r="AE68" s="1271" t="s">
        <v>1058</v>
      </c>
      <c r="AF68" s="1254">
        <v>299.09910563836695</v>
      </c>
      <c r="AG68" s="1282">
        <v>89.147999999999996</v>
      </c>
      <c r="AH68" s="1253">
        <v>4</v>
      </c>
      <c r="AI68" s="1280">
        <v>4</v>
      </c>
      <c r="AJ68" s="1280">
        <v>4</v>
      </c>
      <c r="AK68" s="1253">
        <v>1</v>
      </c>
      <c r="AL68" s="1253">
        <v>2</v>
      </c>
      <c r="AM68" s="1253">
        <v>2</v>
      </c>
      <c r="AN68" s="1253">
        <v>3</v>
      </c>
      <c r="AO68" s="1253">
        <v>2</v>
      </c>
      <c r="AP68" s="1253">
        <v>107</v>
      </c>
      <c r="AQ68" s="1253"/>
      <c r="AR68" s="1253">
        <v>2</v>
      </c>
      <c r="AS68" s="1253">
        <v>5</v>
      </c>
      <c r="AT68" s="1253">
        <v>2</v>
      </c>
      <c r="AU68" s="1253"/>
      <c r="AV68" s="1133">
        <f t="shared" si="84"/>
        <v>3.81</v>
      </c>
      <c r="AW68" s="1134">
        <f t="shared" si="85"/>
        <v>1.05</v>
      </c>
      <c r="AX68" s="1134">
        <f t="shared" si="86"/>
        <v>0.15</v>
      </c>
      <c r="AY68" s="1135">
        <f t="shared" si="87"/>
        <v>3.79</v>
      </c>
      <c r="AZ68" s="1136">
        <f t="shared" si="88"/>
        <v>0.99999865908666485</v>
      </c>
      <c r="BA68" s="1137">
        <f t="shared" si="89"/>
        <v>0.89993809999999996</v>
      </c>
      <c r="BB68" s="956">
        <f t="shared" si="90"/>
        <v>1.1599999999999999</v>
      </c>
      <c r="BC68" s="1138">
        <f t="shared" si="91"/>
        <v>1</v>
      </c>
      <c r="BD68" s="1139">
        <f t="shared" si="92"/>
        <v>93.64</v>
      </c>
      <c r="BE68" s="1138">
        <f t="shared" si="93"/>
        <v>0.47161801397548209</v>
      </c>
      <c r="BF68" s="1140">
        <f t="shared" si="94"/>
        <v>1</v>
      </c>
      <c r="BG68" s="1137">
        <f t="shared" si="95"/>
        <v>0.03</v>
      </c>
      <c r="BH68" s="956">
        <f t="shared" si="96"/>
        <v>1</v>
      </c>
      <c r="BI68" s="956">
        <f t="shared" si="97"/>
        <v>1.08</v>
      </c>
      <c r="BJ68" s="956">
        <f t="shared" si="98"/>
        <v>0</v>
      </c>
      <c r="BK68" s="956">
        <f t="shared" si="99"/>
        <v>1.08</v>
      </c>
      <c r="BL68" s="956">
        <f t="shared" si="100"/>
        <v>0</v>
      </c>
      <c r="BM68" s="1141">
        <f t="shared" si="101"/>
        <v>1268.4136016655102</v>
      </c>
      <c r="BN68" s="1142">
        <f t="shared" si="102"/>
        <v>1</v>
      </c>
      <c r="BO68" s="1143">
        <f t="shared" si="103"/>
        <v>0.43227500000000002</v>
      </c>
      <c r="BP68" s="1144">
        <f t="shared" si="104"/>
        <v>0.9</v>
      </c>
      <c r="BQ68" s="1134">
        <f t="shared" si="105"/>
        <v>0.9</v>
      </c>
      <c r="BR68" s="1145" t="str">
        <f t="shared" si="106"/>
        <v>.</v>
      </c>
      <c r="BS68" s="1146" t="e">
        <f t="shared" si="107"/>
        <v>#VALUE!</v>
      </c>
      <c r="BT68" s="1147">
        <f>VLOOKUP(AP68,'CROP FACTORS'!$C$5:$N$130,7,FALSE)</f>
        <v>4.5</v>
      </c>
      <c r="BU68" s="1148">
        <f>VLOOKUP(AP68,'CROP FACTORS'!$C$5:$P$130,8,FALSE)</f>
        <v>1</v>
      </c>
      <c r="BV68" s="1149">
        <f t="shared" si="108"/>
        <v>4.3014000000000001</v>
      </c>
      <c r="BW68" s="1150">
        <f t="shared" si="109"/>
        <v>0.98047220649942246</v>
      </c>
      <c r="BX68" s="1137">
        <f>VLOOKUP(AP68,'CROP FACTORS'!$C$5:$N$130,10,FALSE)</f>
        <v>6</v>
      </c>
      <c r="BY68" s="1138">
        <f t="shared" si="110"/>
        <v>59.366173199999992</v>
      </c>
      <c r="BZ68" s="956">
        <f t="shared" si="111"/>
        <v>0.01</v>
      </c>
      <c r="CA68" s="956">
        <f t="shared" si="112"/>
        <v>1.01</v>
      </c>
      <c r="CB68" s="1148">
        <f t="shared" si="113"/>
        <v>61.638650943922791</v>
      </c>
      <c r="CC68" s="1148">
        <f t="shared" si="114"/>
        <v>60.55943328131999</v>
      </c>
      <c r="CD68" s="956">
        <f t="shared" si="115"/>
        <v>140</v>
      </c>
      <c r="CE68" s="956">
        <f t="shared" si="116"/>
        <v>90000</v>
      </c>
      <c r="CF68" s="956">
        <f t="shared" si="117"/>
        <v>1.4</v>
      </c>
      <c r="CG68" s="956">
        <f t="shared" si="118"/>
        <v>0.02</v>
      </c>
      <c r="CH68" s="956">
        <f t="shared" si="119"/>
        <v>130775.4</v>
      </c>
      <c r="CI68" s="956">
        <f t="shared" si="120"/>
        <v>128519.99999999999</v>
      </c>
      <c r="CJ68" s="1138">
        <f t="shared" si="121"/>
        <v>1.25</v>
      </c>
      <c r="CK68" s="1138">
        <f t="shared" si="122"/>
        <v>2.1</v>
      </c>
      <c r="CL68" s="1138">
        <f t="shared" si="123"/>
        <v>1.25</v>
      </c>
      <c r="CM68" s="1138">
        <f t="shared" si="124"/>
        <v>1.25</v>
      </c>
      <c r="CN68" s="1151">
        <f t="shared" si="125"/>
        <v>15.6</v>
      </c>
      <c r="CO68" s="1138">
        <f t="shared" si="126"/>
        <v>1</v>
      </c>
      <c r="CP68" s="1138">
        <f t="shared" si="127"/>
        <v>1</v>
      </c>
      <c r="CQ68" s="1152">
        <f t="shared" si="128"/>
        <v>1</v>
      </c>
      <c r="CR68" s="1153">
        <f t="shared" si="129"/>
        <v>1</v>
      </c>
      <c r="CS68" s="1137">
        <f t="shared" si="130"/>
        <v>0.79600000000000004</v>
      </c>
      <c r="CT68" s="956">
        <f t="shared" si="131"/>
        <v>16.945</v>
      </c>
      <c r="CU68" s="956">
        <f t="shared" si="132"/>
        <v>-10.79</v>
      </c>
      <c r="CV68" s="956">
        <f t="shared" si="133"/>
        <v>0</v>
      </c>
      <c r="CW68" s="956">
        <f t="shared" si="134"/>
        <v>9.3587152000000007</v>
      </c>
      <c r="CX68" s="956">
        <f t="shared" si="135"/>
        <v>-10.275524000000001</v>
      </c>
      <c r="CY68" s="1154">
        <f t="shared" si="136"/>
        <v>0.9041394335511983</v>
      </c>
      <c r="CZ68" s="1155">
        <f t="shared" si="137"/>
        <v>0.99399999999715838</v>
      </c>
      <c r="DA68" s="1137" t="e">
        <f>MIN(VLOOKUP(AP68,'CROP FACTORS'!$C$5:$N$130,2,FALSE),VLOOKUP(AQ68,'CROP FACTORS'!$C$5:$N$130,2,FALSE))</f>
        <v>#N/A</v>
      </c>
      <c r="DB68" s="956" t="e">
        <f>MIN(VLOOKUP(AP68,'CROP FACTORS'!$C$5:$N$130,4,FALSE),VLOOKUP(AQ68,'CROP FACTORS'!$C$5:$N$130,4,FALSE))</f>
        <v>#N/A</v>
      </c>
      <c r="DC68" s="1156" t="e">
        <f t="shared" si="138"/>
        <v>#N/A</v>
      </c>
      <c r="DD68" s="1138">
        <f t="shared" si="139"/>
        <v>1.22</v>
      </c>
      <c r="DE68" s="1157" t="str">
        <f t="shared" si="140"/>
        <v>.</v>
      </c>
      <c r="DF68" s="1138" t="e">
        <f t="shared" si="141"/>
        <v>#N/A</v>
      </c>
      <c r="DG68" s="1158" t="e">
        <f t="shared" si="142"/>
        <v>#N/A</v>
      </c>
      <c r="DH68" s="1159" t="str">
        <f t="shared" si="143"/>
        <v>.</v>
      </c>
      <c r="DI68" s="1153" t="e">
        <f t="shared" si="144"/>
        <v>#VALUE!</v>
      </c>
      <c r="DJ68" s="1133">
        <f t="shared" si="145"/>
        <v>5.8</v>
      </c>
      <c r="DK68" s="1160">
        <f t="shared" si="146"/>
        <v>2.7</v>
      </c>
      <c r="DL68" s="1134">
        <f t="shared" si="147"/>
        <v>2.1</v>
      </c>
      <c r="DM68" s="1161">
        <f t="shared" si="148"/>
        <v>299.09910563836695</v>
      </c>
      <c r="DN68" s="1144">
        <f t="shared" si="149"/>
        <v>48.546000000000006</v>
      </c>
      <c r="DO68" s="1162">
        <f t="shared" si="150"/>
        <v>1.0099758358145956</v>
      </c>
      <c r="DP68" s="1163">
        <f t="shared" si="151"/>
        <v>1</v>
      </c>
      <c r="DQ68" s="1133">
        <f t="shared" si="152"/>
        <v>1.0745</v>
      </c>
      <c r="DR68" s="1134">
        <f t="shared" si="153"/>
        <v>-1.3429999999999999E-2</v>
      </c>
      <c r="DS68" s="1164">
        <f t="shared" si="154"/>
        <v>89.147999999999996</v>
      </c>
      <c r="DT68" s="1146">
        <f t="shared" si="155"/>
        <v>0.74997808254983933</v>
      </c>
      <c r="DU68" s="1165">
        <f t="shared" si="156"/>
        <v>0.99999865908666485</v>
      </c>
      <c r="DV68" s="1166">
        <f t="shared" si="157"/>
        <v>1</v>
      </c>
      <c r="DW68" s="1166">
        <f t="shared" si="158"/>
        <v>1</v>
      </c>
      <c r="DX68" s="1166"/>
      <c r="DY68" s="1166">
        <f t="shared" si="159"/>
        <v>0.98047220649942246</v>
      </c>
      <c r="DZ68" s="1166">
        <f t="shared" si="160"/>
        <v>1</v>
      </c>
      <c r="EA68" s="1138"/>
      <c r="EB68" s="1166">
        <f t="shared" si="161"/>
        <v>0.99399999999715838</v>
      </c>
      <c r="EC68" s="1166"/>
      <c r="ED68" s="1138"/>
      <c r="EE68" s="1166">
        <f t="shared" si="162"/>
        <v>1</v>
      </c>
      <c r="EF68" s="1140">
        <f t="shared" si="163"/>
        <v>0.74997808254983933</v>
      </c>
      <c r="EG68" s="1159">
        <f t="shared" si="164"/>
        <v>7.7244489481330856</v>
      </c>
      <c r="EH68" s="1167">
        <f t="shared" si="165"/>
        <v>8</v>
      </c>
      <c r="EI68" s="1312">
        <f t="shared" si="166"/>
        <v>0.9655561185166357</v>
      </c>
      <c r="EJ68" s="1168">
        <f t="shared" si="167"/>
        <v>1.9939999999971585</v>
      </c>
      <c r="EK68" s="1169">
        <f t="shared" si="168"/>
        <v>2</v>
      </c>
      <c r="EL68" s="1170">
        <f t="shared" si="169"/>
        <v>0.99699999999857924</v>
      </c>
      <c r="EM68" s="1159">
        <f t="shared" si="170"/>
        <v>0.98047220649942246</v>
      </c>
      <c r="EN68" s="1167">
        <f t="shared" si="171"/>
        <v>1</v>
      </c>
      <c r="EO68" s="1171">
        <f t="shared" si="172"/>
        <v>0.98047220649942246</v>
      </c>
      <c r="EP68" s="1168">
        <f t="shared" si="173"/>
        <v>2.999998659086665</v>
      </c>
      <c r="EQ68" s="1169">
        <f t="shared" si="174"/>
        <v>3</v>
      </c>
      <c r="ER68" s="1146">
        <f t="shared" si="175"/>
        <v>0.99999955302888832</v>
      </c>
      <c r="ES68" s="1159">
        <f t="shared" si="176"/>
        <v>1.7499780825498394</v>
      </c>
      <c r="ET68" s="1167">
        <f t="shared" si="177"/>
        <v>2</v>
      </c>
      <c r="EU68" s="1155">
        <f t="shared" si="178"/>
        <v>0.87498904127491972</v>
      </c>
      <c r="EV68" s="1159">
        <f t="shared" si="179"/>
        <v>2.7304502890492621</v>
      </c>
      <c r="EW68" s="1167">
        <f t="shared" si="180"/>
        <v>3</v>
      </c>
      <c r="EX68" s="1155">
        <f t="shared" si="181"/>
        <v>0.91015009634975408</v>
      </c>
    </row>
    <row r="69" spans="2:154">
      <c r="B69" s="1218" t="s">
        <v>1274</v>
      </c>
      <c r="C69" s="1219">
        <v>5</v>
      </c>
      <c r="D69" s="1220" t="s">
        <v>1264</v>
      </c>
      <c r="E69" s="1220" t="s">
        <v>1265</v>
      </c>
      <c r="F69" s="1221" t="s">
        <v>1266</v>
      </c>
      <c r="V69" s="1278">
        <v>64</v>
      </c>
      <c r="W69" s="1262">
        <v>2.9350000000000001</v>
      </c>
      <c r="X69" s="1283">
        <v>93.140000000000015</v>
      </c>
      <c r="Y69" s="1272">
        <v>1207.0924862002928</v>
      </c>
      <c r="Z69" s="1255" t="s">
        <v>1058</v>
      </c>
      <c r="AA69" s="1277">
        <v>4.3014000000000001</v>
      </c>
      <c r="AB69" s="1261">
        <v>12</v>
      </c>
      <c r="AC69" s="1282">
        <v>0.97172441258462783</v>
      </c>
      <c r="AD69" s="1271" t="s">
        <v>1058</v>
      </c>
      <c r="AE69" s="1271" t="s">
        <v>1058</v>
      </c>
      <c r="AF69" s="1254">
        <v>297.0369321699971</v>
      </c>
      <c r="AG69" s="1282">
        <v>77.808999999999997</v>
      </c>
      <c r="AH69" s="1253">
        <v>4</v>
      </c>
      <c r="AI69" s="1280">
        <v>4</v>
      </c>
      <c r="AJ69" s="1280">
        <v>4</v>
      </c>
      <c r="AK69" s="1253">
        <v>1</v>
      </c>
      <c r="AL69" s="1253">
        <v>2</v>
      </c>
      <c r="AM69" s="1253">
        <v>2</v>
      </c>
      <c r="AN69" s="1253">
        <v>3</v>
      </c>
      <c r="AO69" s="1253">
        <v>2</v>
      </c>
      <c r="AP69" s="1253">
        <v>107</v>
      </c>
      <c r="AQ69" s="1253"/>
      <c r="AR69" s="1253">
        <v>2</v>
      </c>
      <c r="AS69" s="1253">
        <v>5</v>
      </c>
      <c r="AT69" s="1253">
        <v>2</v>
      </c>
      <c r="AU69" s="1253"/>
      <c r="AV69" s="1133">
        <f t="shared" si="84"/>
        <v>3.81</v>
      </c>
      <c r="AW69" s="1134">
        <f t="shared" si="85"/>
        <v>1.05</v>
      </c>
      <c r="AX69" s="1134">
        <f t="shared" si="86"/>
        <v>0.15</v>
      </c>
      <c r="AY69" s="1135">
        <f t="shared" si="87"/>
        <v>2.9350000000000001</v>
      </c>
      <c r="AZ69" s="1136">
        <f t="shared" si="88"/>
        <v>0.99993150399360942</v>
      </c>
      <c r="BA69" s="1137">
        <f t="shared" si="89"/>
        <v>0.89993809999999996</v>
      </c>
      <c r="BB69" s="956">
        <f t="shared" si="90"/>
        <v>1.1599999999999999</v>
      </c>
      <c r="BC69" s="1138">
        <f t="shared" si="91"/>
        <v>1</v>
      </c>
      <c r="BD69" s="1139">
        <f t="shared" si="92"/>
        <v>93.140000000000015</v>
      </c>
      <c r="BE69" s="1138">
        <f t="shared" si="93"/>
        <v>0.48410040441858382</v>
      </c>
      <c r="BF69" s="1140">
        <f t="shared" si="94"/>
        <v>1</v>
      </c>
      <c r="BG69" s="1137">
        <f t="shared" si="95"/>
        <v>0.03</v>
      </c>
      <c r="BH69" s="956">
        <f t="shared" si="96"/>
        <v>1</v>
      </c>
      <c r="BI69" s="956">
        <f t="shared" si="97"/>
        <v>1.08</v>
      </c>
      <c r="BJ69" s="956">
        <f t="shared" si="98"/>
        <v>0</v>
      </c>
      <c r="BK69" s="956">
        <f t="shared" si="99"/>
        <v>1.08</v>
      </c>
      <c r="BL69" s="956">
        <f t="shared" si="100"/>
        <v>0</v>
      </c>
      <c r="BM69" s="1141">
        <f t="shared" si="101"/>
        <v>1207.0924862002928</v>
      </c>
      <c r="BN69" s="1142">
        <f t="shared" si="102"/>
        <v>0.99999999999999956</v>
      </c>
      <c r="BO69" s="1143">
        <f t="shared" si="103"/>
        <v>0.43227500000000002</v>
      </c>
      <c r="BP69" s="1144">
        <f t="shared" si="104"/>
        <v>0.9</v>
      </c>
      <c r="BQ69" s="1134">
        <f t="shared" si="105"/>
        <v>0.9</v>
      </c>
      <c r="BR69" s="1145" t="str">
        <f t="shared" si="106"/>
        <v>.</v>
      </c>
      <c r="BS69" s="1146" t="e">
        <f t="shared" si="107"/>
        <v>#VALUE!</v>
      </c>
      <c r="BT69" s="1147">
        <f>VLOOKUP(AP69,'CROP FACTORS'!$C$5:$N$130,7,FALSE)</f>
        <v>4.5</v>
      </c>
      <c r="BU69" s="1148">
        <f>VLOOKUP(AP69,'CROP FACTORS'!$C$5:$P$130,8,FALSE)</f>
        <v>1</v>
      </c>
      <c r="BV69" s="1149">
        <f t="shared" si="108"/>
        <v>4.3014000000000001</v>
      </c>
      <c r="BW69" s="1150">
        <f t="shared" si="109"/>
        <v>0.98047220649942246</v>
      </c>
      <c r="BX69" s="1137">
        <f>VLOOKUP(AP69,'CROP FACTORS'!$C$5:$N$130,10,FALSE)</f>
        <v>6</v>
      </c>
      <c r="BY69" s="1138">
        <f t="shared" si="110"/>
        <v>59.366173199999992</v>
      </c>
      <c r="BZ69" s="956">
        <f t="shared" si="111"/>
        <v>0.01</v>
      </c>
      <c r="CA69" s="956">
        <f t="shared" si="112"/>
        <v>1.01</v>
      </c>
      <c r="CB69" s="1148">
        <f t="shared" si="113"/>
        <v>61.125994355254193</v>
      </c>
      <c r="CC69" s="1148">
        <f t="shared" si="114"/>
        <v>60.55943328131999</v>
      </c>
      <c r="CD69" s="956">
        <f t="shared" si="115"/>
        <v>140</v>
      </c>
      <c r="CE69" s="956">
        <f t="shared" si="116"/>
        <v>90000</v>
      </c>
      <c r="CF69" s="956">
        <f t="shared" si="117"/>
        <v>1.4</v>
      </c>
      <c r="CG69" s="956">
        <f t="shared" si="118"/>
        <v>0.02</v>
      </c>
      <c r="CH69" s="956">
        <f t="shared" si="119"/>
        <v>129698.09999999999</v>
      </c>
      <c r="CI69" s="956">
        <f t="shared" si="120"/>
        <v>128519.99999999999</v>
      </c>
      <c r="CJ69" s="1138">
        <f t="shared" si="121"/>
        <v>1.25</v>
      </c>
      <c r="CK69" s="1138">
        <f t="shared" si="122"/>
        <v>2.1</v>
      </c>
      <c r="CL69" s="1138">
        <f t="shared" si="123"/>
        <v>1.25</v>
      </c>
      <c r="CM69" s="1138">
        <f t="shared" si="124"/>
        <v>1.25</v>
      </c>
      <c r="CN69" s="1151">
        <f t="shared" si="125"/>
        <v>12</v>
      </c>
      <c r="CO69" s="1138">
        <f t="shared" si="126"/>
        <v>1</v>
      </c>
      <c r="CP69" s="1138">
        <f t="shared" si="127"/>
        <v>1</v>
      </c>
      <c r="CQ69" s="1152">
        <f t="shared" si="128"/>
        <v>1</v>
      </c>
      <c r="CR69" s="1153">
        <f t="shared" si="129"/>
        <v>1</v>
      </c>
      <c r="CS69" s="1137">
        <f t="shared" si="130"/>
        <v>0.79600000000000004</v>
      </c>
      <c r="CT69" s="956">
        <f t="shared" si="131"/>
        <v>16.945</v>
      </c>
      <c r="CU69" s="956">
        <f t="shared" si="132"/>
        <v>-10.79</v>
      </c>
      <c r="CV69" s="956">
        <f t="shared" si="133"/>
        <v>0</v>
      </c>
      <c r="CW69" s="956">
        <f t="shared" si="134"/>
        <v>9.3587152000000007</v>
      </c>
      <c r="CX69" s="956">
        <f t="shared" si="135"/>
        <v>-10.275524000000001</v>
      </c>
      <c r="CY69" s="1154">
        <f t="shared" si="136"/>
        <v>0.97172441258462783</v>
      </c>
      <c r="CZ69" s="1155">
        <f t="shared" si="137"/>
        <v>0.99399722466997664</v>
      </c>
      <c r="DA69" s="1137" t="e">
        <f>MIN(VLOOKUP(AP69,'CROP FACTORS'!$C$5:$N$130,2,FALSE),VLOOKUP(AQ69,'CROP FACTORS'!$C$5:$N$130,2,FALSE))</f>
        <v>#N/A</v>
      </c>
      <c r="DB69" s="956" t="e">
        <f>MIN(VLOOKUP(AP69,'CROP FACTORS'!$C$5:$N$130,4,FALSE),VLOOKUP(AQ69,'CROP FACTORS'!$C$5:$N$130,4,FALSE))</f>
        <v>#N/A</v>
      </c>
      <c r="DC69" s="1156" t="e">
        <f t="shared" si="138"/>
        <v>#N/A</v>
      </c>
      <c r="DD69" s="1138">
        <f t="shared" si="139"/>
        <v>1.22</v>
      </c>
      <c r="DE69" s="1157" t="str">
        <f t="shared" si="140"/>
        <v>.</v>
      </c>
      <c r="DF69" s="1138" t="e">
        <f t="shared" si="141"/>
        <v>#N/A</v>
      </c>
      <c r="DG69" s="1158" t="e">
        <f t="shared" si="142"/>
        <v>#N/A</v>
      </c>
      <c r="DH69" s="1159" t="str">
        <f t="shared" si="143"/>
        <v>.</v>
      </c>
      <c r="DI69" s="1153" t="e">
        <f t="shared" si="144"/>
        <v>#VALUE!</v>
      </c>
      <c r="DJ69" s="1133">
        <f t="shared" si="145"/>
        <v>5.8</v>
      </c>
      <c r="DK69" s="1160">
        <f t="shared" si="146"/>
        <v>2.7</v>
      </c>
      <c r="DL69" s="1134">
        <f t="shared" si="147"/>
        <v>2.1</v>
      </c>
      <c r="DM69" s="1161">
        <f t="shared" si="148"/>
        <v>297.0369321699971</v>
      </c>
      <c r="DN69" s="1144">
        <f t="shared" si="149"/>
        <v>48.546000000000006</v>
      </c>
      <c r="DO69" s="1162">
        <f t="shared" si="150"/>
        <v>1.0099732915672446</v>
      </c>
      <c r="DP69" s="1163">
        <f t="shared" si="151"/>
        <v>1</v>
      </c>
      <c r="DQ69" s="1133">
        <f t="shared" si="152"/>
        <v>1.0745</v>
      </c>
      <c r="DR69" s="1134">
        <f t="shared" si="153"/>
        <v>-1.3429999999999999E-2</v>
      </c>
      <c r="DS69" s="1164">
        <f t="shared" si="154"/>
        <v>77.808999999999997</v>
      </c>
      <c r="DT69" s="1146">
        <f t="shared" si="155"/>
        <v>0.69659764351137343</v>
      </c>
      <c r="DU69" s="1165">
        <f t="shared" si="156"/>
        <v>0.99993150399360942</v>
      </c>
      <c r="DV69" s="1166">
        <f t="shared" si="157"/>
        <v>1</v>
      </c>
      <c r="DW69" s="1166">
        <f t="shared" si="158"/>
        <v>0.99999999999999956</v>
      </c>
      <c r="DX69" s="1166"/>
      <c r="DY69" s="1166">
        <f t="shared" si="159"/>
        <v>0.98047220649942246</v>
      </c>
      <c r="DZ69" s="1166">
        <f t="shared" si="160"/>
        <v>1</v>
      </c>
      <c r="EA69" s="1138"/>
      <c r="EB69" s="1166">
        <f t="shared" si="161"/>
        <v>0.99399722466997664</v>
      </c>
      <c r="EC69" s="1166"/>
      <c r="ED69" s="1138"/>
      <c r="EE69" s="1166">
        <f t="shared" si="162"/>
        <v>1</v>
      </c>
      <c r="EF69" s="1140">
        <f t="shared" si="163"/>
        <v>0.69659764351137343</v>
      </c>
      <c r="EG69" s="1159">
        <f t="shared" si="164"/>
        <v>7.6709985786743813</v>
      </c>
      <c r="EH69" s="1167">
        <f t="shared" si="165"/>
        <v>8</v>
      </c>
      <c r="EI69" s="1312">
        <f t="shared" si="166"/>
        <v>0.95887482233429766</v>
      </c>
      <c r="EJ69" s="1168">
        <f t="shared" si="167"/>
        <v>1.9939972246699766</v>
      </c>
      <c r="EK69" s="1169">
        <f t="shared" si="168"/>
        <v>2</v>
      </c>
      <c r="EL69" s="1170">
        <f t="shared" si="169"/>
        <v>0.99699861233498832</v>
      </c>
      <c r="EM69" s="1159">
        <f t="shared" si="170"/>
        <v>0.98047220649942246</v>
      </c>
      <c r="EN69" s="1167">
        <f t="shared" si="171"/>
        <v>1</v>
      </c>
      <c r="EO69" s="1171">
        <f t="shared" si="172"/>
        <v>0.98047220649942246</v>
      </c>
      <c r="EP69" s="1168">
        <f t="shared" si="173"/>
        <v>2.9999315039936088</v>
      </c>
      <c r="EQ69" s="1169">
        <f t="shared" si="174"/>
        <v>3</v>
      </c>
      <c r="ER69" s="1146">
        <f t="shared" si="175"/>
        <v>0.99997716799786962</v>
      </c>
      <c r="ES69" s="1159">
        <f t="shared" si="176"/>
        <v>1.6965976435113734</v>
      </c>
      <c r="ET69" s="1167">
        <f t="shared" si="177"/>
        <v>2</v>
      </c>
      <c r="EU69" s="1155">
        <f t="shared" si="178"/>
        <v>0.84829882175568672</v>
      </c>
      <c r="EV69" s="1159">
        <f t="shared" si="179"/>
        <v>2.6770698500107959</v>
      </c>
      <c r="EW69" s="1167">
        <f t="shared" si="180"/>
        <v>3</v>
      </c>
      <c r="EX69" s="1155">
        <f t="shared" si="181"/>
        <v>0.89235661667026533</v>
      </c>
    </row>
    <row r="70" spans="2:154">
      <c r="B70" s="1218" t="s">
        <v>1274</v>
      </c>
      <c r="C70" s="1219">
        <v>6</v>
      </c>
      <c r="D70" s="1220" t="s">
        <v>1264</v>
      </c>
      <c r="E70" s="1220" t="s">
        <v>1265</v>
      </c>
      <c r="F70" s="1221" t="s">
        <v>1266</v>
      </c>
      <c r="V70" s="1278">
        <v>61.5</v>
      </c>
      <c r="W70" s="1262">
        <v>4.3849999999999998</v>
      </c>
      <c r="X70" s="1283">
        <v>96.419999999999987</v>
      </c>
      <c r="Y70" s="1272">
        <v>1318.1356643356644</v>
      </c>
      <c r="Z70" s="1255" t="s">
        <v>1058</v>
      </c>
      <c r="AA70" s="1277">
        <v>4.2092000000000001</v>
      </c>
      <c r="AB70" s="1261">
        <v>15</v>
      </c>
      <c r="AC70" s="1282">
        <v>0.76932087052264164</v>
      </c>
      <c r="AD70" s="1271" t="s">
        <v>1058</v>
      </c>
      <c r="AE70" s="1271" t="s">
        <v>1058</v>
      </c>
      <c r="AF70" s="1254">
        <v>287.20022408963592</v>
      </c>
      <c r="AG70" s="1282">
        <v>112.60799999999999</v>
      </c>
      <c r="AH70" s="1253">
        <v>4</v>
      </c>
      <c r="AI70" s="1280">
        <v>4</v>
      </c>
      <c r="AJ70" s="1280">
        <v>4</v>
      </c>
      <c r="AK70" s="1253">
        <v>1</v>
      </c>
      <c r="AL70" s="1253">
        <v>2</v>
      </c>
      <c r="AM70" s="1253">
        <v>2</v>
      </c>
      <c r="AN70" s="1253">
        <v>3</v>
      </c>
      <c r="AO70" s="1253">
        <v>2</v>
      </c>
      <c r="AP70" s="1253">
        <v>107</v>
      </c>
      <c r="AQ70" s="1253"/>
      <c r="AR70" s="1253">
        <v>2</v>
      </c>
      <c r="AS70" s="1253">
        <v>5</v>
      </c>
      <c r="AT70" s="1253">
        <v>2</v>
      </c>
      <c r="AU70" s="1253"/>
      <c r="AV70" s="1133">
        <f t="shared" si="84"/>
        <v>3.81</v>
      </c>
      <c r="AW70" s="1134">
        <f t="shared" si="85"/>
        <v>1.05</v>
      </c>
      <c r="AX70" s="1134">
        <f t="shared" si="86"/>
        <v>0.15</v>
      </c>
      <c r="AY70" s="1135">
        <f t="shared" si="87"/>
        <v>4.3849999999999998</v>
      </c>
      <c r="AZ70" s="1136">
        <f t="shared" si="88"/>
        <v>0.9999999131862185</v>
      </c>
      <c r="BA70" s="1137">
        <f t="shared" si="89"/>
        <v>0.89993809999999996</v>
      </c>
      <c r="BB70" s="956">
        <f t="shared" si="90"/>
        <v>1.1599999999999999</v>
      </c>
      <c r="BC70" s="1138">
        <f t="shared" si="91"/>
        <v>1</v>
      </c>
      <c r="BD70" s="1139">
        <f t="shared" si="92"/>
        <v>96.419999999999987</v>
      </c>
      <c r="BE70" s="1138">
        <f t="shared" si="93"/>
        <v>0.4000348474790546</v>
      </c>
      <c r="BF70" s="1140">
        <f t="shared" si="94"/>
        <v>1</v>
      </c>
      <c r="BG70" s="1137">
        <f t="shared" si="95"/>
        <v>0.03</v>
      </c>
      <c r="BH70" s="956">
        <f t="shared" si="96"/>
        <v>1</v>
      </c>
      <c r="BI70" s="956">
        <f t="shared" si="97"/>
        <v>1.08</v>
      </c>
      <c r="BJ70" s="956">
        <f t="shared" si="98"/>
        <v>0</v>
      </c>
      <c r="BK70" s="956">
        <f t="shared" si="99"/>
        <v>1.08</v>
      </c>
      <c r="BL70" s="956">
        <f t="shared" si="100"/>
        <v>0</v>
      </c>
      <c r="BM70" s="1141">
        <f t="shared" si="101"/>
        <v>1318.1356643356644</v>
      </c>
      <c r="BN70" s="1142">
        <f t="shared" si="102"/>
        <v>1</v>
      </c>
      <c r="BO70" s="1143">
        <f t="shared" si="103"/>
        <v>0.43227500000000002</v>
      </c>
      <c r="BP70" s="1144">
        <f t="shared" si="104"/>
        <v>0.9</v>
      </c>
      <c r="BQ70" s="1134">
        <f t="shared" si="105"/>
        <v>0.9</v>
      </c>
      <c r="BR70" s="1145" t="str">
        <f t="shared" si="106"/>
        <v>.</v>
      </c>
      <c r="BS70" s="1146" t="e">
        <f t="shared" si="107"/>
        <v>#VALUE!</v>
      </c>
      <c r="BT70" s="1147">
        <f>VLOOKUP(AP70,'CROP FACTORS'!$C$5:$N$130,7,FALSE)</f>
        <v>4.5</v>
      </c>
      <c r="BU70" s="1148">
        <f>VLOOKUP(AP70,'CROP FACTORS'!$C$5:$P$130,8,FALSE)</f>
        <v>1</v>
      </c>
      <c r="BV70" s="1149">
        <f t="shared" si="108"/>
        <v>4.2092000000000001</v>
      </c>
      <c r="BW70" s="1150">
        <f t="shared" si="109"/>
        <v>0.95859911066559522</v>
      </c>
      <c r="BX70" s="1137">
        <f>VLOOKUP(AP70,'CROP FACTORS'!$C$5:$N$130,10,FALSE)</f>
        <v>6</v>
      </c>
      <c r="BY70" s="1138">
        <f t="shared" si="110"/>
        <v>59.366173199999992</v>
      </c>
      <c r="BZ70" s="956">
        <f t="shared" si="111"/>
        <v>0.01</v>
      </c>
      <c r="CA70" s="956">
        <f t="shared" si="112"/>
        <v>1.01</v>
      </c>
      <c r="CB70" s="1148">
        <f t="shared" si="113"/>
        <v>61.995411961768191</v>
      </c>
      <c r="CC70" s="1148">
        <f t="shared" si="114"/>
        <v>60.55943328131999</v>
      </c>
      <c r="CD70" s="956">
        <f t="shared" si="115"/>
        <v>140</v>
      </c>
      <c r="CE70" s="956">
        <f t="shared" si="116"/>
        <v>90000</v>
      </c>
      <c r="CF70" s="956">
        <f t="shared" si="117"/>
        <v>1.4</v>
      </c>
      <c r="CG70" s="956">
        <f t="shared" si="118"/>
        <v>0.02</v>
      </c>
      <c r="CH70" s="956">
        <f t="shared" si="119"/>
        <v>131525.1</v>
      </c>
      <c r="CI70" s="956">
        <f t="shared" si="120"/>
        <v>128519.99999999999</v>
      </c>
      <c r="CJ70" s="1138">
        <f t="shared" si="121"/>
        <v>1.25</v>
      </c>
      <c r="CK70" s="1138">
        <f t="shared" si="122"/>
        <v>2.1</v>
      </c>
      <c r="CL70" s="1138">
        <f t="shared" si="123"/>
        <v>1.25</v>
      </c>
      <c r="CM70" s="1138">
        <f t="shared" si="124"/>
        <v>1.25</v>
      </c>
      <c r="CN70" s="1151">
        <f t="shared" si="125"/>
        <v>15</v>
      </c>
      <c r="CO70" s="1138">
        <f t="shared" si="126"/>
        <v>1</v>
      </c>
      <c r="CP70" s="1138">
        <f t="shared" si="127"/>
        <v>1</v>
      </c>
      <c r="CQ70" s="1152">
        <f t="shared" si="128"/>
        <v>1</v>
      </c>
      <c r="CR70" s="1153">
        <f t="shared" si="129"/>
        <v>1</v>
      </c>
      <c r="CS70" s="1137">
        <f t="shared" si="130"/>
        <v>0.79600000000000004</v>
      </c>
      <c r="CT70" s="956">
        <f t="shared" si="131"/>
        <v>16.945</v>
      </c>
      <c r="CU70" s="956">
        <f t="shared" si="132"/>
        <v>-10.79</v>
      </c>
      <c r="CV70" s="956">
        <f t="shared" si="133"/>
        <v>0</v>
      </c>
      <c r="CW70" s="956">
        <f t="shared" si="134"/>
        <v>9.3587152000000007</v>
      </c>
      <c r="CX70" s="956">
        <f t="shared" si="135"/>
        <v>-10.275524000000001</v>
      </c>
      <c r="CY70" s="1154">
        <f t="shared" si="136"/>
        <v>0.76932087052264164</v>
      </c>
      <c r="CZ70" s="1155">
        <f t="shared" si="137"/>
        <v>0.99399999999999999</v>
      </c>
      <c r="DA70" s="1137" t="e">
        <f>MIN(VLOOKUP(AP70,'CROP FACTORS'!$C$5:$N$130,2,FALSE),VLOOKUP(AQ70,'CROP FACTORS'!$C$5:$N$130,2,FALSE))</f>
        <v>#N/A</v>
      </c>
      <c r="DB70" s="956" t="e">
        <f>MIN(VLOOKUP(AP70,'CROP FACTORS'!$C$5:$N$130,4,FALSE),VLOOKUP(AQ70,'CROP FACTORS'!$C$5:$N$130,4,FALSE))</f>
        <v>#N/A</v>
      </c>
      <c r="DC70" s="1156" t="e">
        <f t="shared" si="138"/>
        <v>#N/A</v>
      </c>
      <c r="DD70" s="1138">
        <f t="shared" si="139"/>
        <v>1.22</v>
      </c>
      <c r="DE70" s="1157" t="str">
        <f t="shared" si="140"/>
        <v>.</v>
      </c>
      <c r="DF70" s="1138" t="e">
        <f t="shared" si="141"/>
        <v>#N/A</v>
      </c>
      <c r="DG70" s="1158" t="e">
        <f t="shared" si="142"/>
        <v>#N/A</v>
      </c>
      <c r="DH70" s="1159" t="str">
        <f t="shared" si="143"/>
        <v>.</v>
      </c>
      <c r="DI70" s="1153" t="e">
        <f t="shared" si="144"/>
        <v>#VALUE!</v>
      </c>
      <c r="DJ70" s="1133">
        <f t="shared" si="145"/>
        <v>5.8</v>
      </c>
      <c r="DK70" s="1160">
        <f t="shared" si="146"/>
        <v>2.7</v>
      </c>
      <c r="DL70" s="1134">
        <f t="shared" si="147"/>
        <v>2.1</v>
      </c>
      <c r="DM70" s="1161">
        <f t="shared" si="148"/>
        <v>287.20022408963592</v>
      </c>
      <c r="DN70" s="1144">
        <f t="shared" si="149"/>
        <v>48.546000000000006</v>
      </c>
      <c r="DO70" s="1162">
        <f t="shared" si="150"/>
        <v>1.0099569442411334</v>
      </c>
      <c r="DP70" s="1163">
        <f t="shared" si="151"/>
        <v>1</v>
      </c>
      <c r="DQ70" s="1133">
        <f t="shared" si="152"/>
        <v>1.0745</v>
      </c>
      <c r="DR70" s="1134">
        <f t="shared" si="153"/>
        <v>-1.3429999999999999E-2</v>
      </c>
      <c r="DS70" s="1164">
        <f t="shared" si="154"/>
        <v>112.60799999999999</v>
      </c>
      <c r="DT70" s="1146">
        <f t="shared" si="155"/>
        <v>0.8376835718865534</v>
      </c>
      <c r="DU70" s="1165">
        <f t="shared" si="156"/>
        <v>0.9999999131862185</v>
      </c>
      <c r="DV70" s="1166">
        <f t="shared" si="157"/>
        <v>1</v>
      </c>
      <c r="DW70" s="1166">
        <f t="shared" si="158"/>
        <v>1</v>
      </c>
      <c r="DX70" s="1166"/>
      <c r="DY70" s="1166">
        <f t="shared" si="159"/>
        <v>0.95859911066559522</v>
      </c>
      <c r="DZ70" s="1166">
        <f t="shared" si="160"/>
        <v>1</v>
      </c>
      <c r="EA70" s="1138"/>
      <c r="EB70" s="1166">
        <f t="shared" si="161"/>
        <v>0.99399999999999999</v>
      </c>
      <c r="EC70" s="1166"/>
      <c r="ED70" s="1138"/>
      <c r="EE70" s="1166">
        <f t="shared" si="162"/>
        <v>1</v>
      </c>
      <c r="EF70" s="1140">
        <f t="shared" si="163"/>
        <v>0.8376835718865534</v>
      </c>
      <c r="EG70" s="1159">
        <f t="shared" si="164"/>
        <v>7.7902825957383675</v>
      </c>
      <c r="EH70" s="1167">
        <f t="shared" si="165"/>
        <v>8</v>
      </c>
      <c r="EI70" s="1312">
        <f t="shared" si="166"/>
        <v>0.97378532446729593</v>
      </c>
      <c r="EJ70" s="1168">
        <f t="shared" si="167"/>
        <v>1.994</v>
      </c>
      <c r="EK70" s="1169">
        <f t="shared" si="168"/>
        <v>2</v>
      </c>
      <c r="EL70" s="1170">
        <f t="shared" si="169"/>
        <v>0.997</v>
      </c>
      <c r="EM70" s="1159">
        <f t="shared" si="170"/>
        <v>0.95859911066559522</v>
      </c>
      <c r="EN70" s="1167">
        <f t="shared" si="171"/>
        <v>1</v>
      </c>
      <c r="EO70" s="1171">
        <f t="shared" si="172"/>
        <v>0.95859911066559522</v>
      </c>
      <c r="EP70" s="1168">
        <f t="shared" si="173"/>
        <v>2.9999999131862185</v>
      </c>
      <c r="EQ70" s="1169">
        <f t="shared" si="174"/>
        <v>3</v>
      </c>
      <c r="ER70" s="1146">
        <f t="shared" si="175"/>
        <v>0.99999997106207283</v>
      </c>
      <c r="ES70" s="1159">
        <f t="shared" si="176"/>
        <v>1.8376835718865534</v>
      </c>
      <c r="ET70" s="1167">
        <f t="shared" si="177"/>
        <v>2</v>
      </c>
      <c r="EU70" s="1155">
        <f t="shared" si="178"/>
        <v>0.9188417859432767</v>
      </c>
      <c r="EV70" s="1159">
        <f t="shared" si="179"/>
        <v>2.7962826825521487</v>
      </c>
      <c r="EW70" s="1167">
        <f t="shared" si="180"/>
        <v>3</v>
      </c>
      <c r="EX70" s="1155">
        <f t="shared" si="181"/>
        <v>0.93209422751738291</v>
      </c>
    </row>
    <row r="71" spans="2:154">
      <c r="B71" s="1218" t="s">
        <v>1274</v>
      </c>
      <c r="C71" s="1219">
        <v>7</v>
      </c>
      <c r="D71" s="1220" t="s">
        <v>1264</v>
      </c>
      <c r="E71" s="1220" t="s">
        <v>1265</v>
      </c>
      <c r="F71" s="1221" t="s">
        <v>1266</v>
      </c>
      <c r="V71" s="1278">
        <v>63.5</v>
      </c>
      <c r="W71" s="1262">
        <v>3.9200000000000004</v>
      </c>
      <c r="X71" s="1283">
        <v>93.78</v>
      </c>
      <c r="Y71" s="1272">
        <v>1935.1578947368421</v>
      </c>
      <c r="Z71" s="1255" t="s">
        <v>1058</v>
      </c>
      <c r="AA71" s="1277">
        <v>4.117</v>
      </c>
      <c r="AB71" s="1261">
        <v>13.4</v>
      </c>
      <c r="AC71" s="1282">
        <v>0.94056738585517841</v>
      </c>
      <c r="AD71" s="1271" t="s">
        <v>1058</v>
      </c>
      <c r="AE71" s="1271" t="s">
        <v>1058</v>
      </c>
      <c r="AF71" s="1254">
        <v>381.22070448070468</v>
      </c>
      <c r="AG71" s="1282">
        <v>73.899000000000001</v>
      </c>
      <c r="AH71" s="1253">
        <v>4</v>
      </c>
      <c r="AI71" s="1280">
        <v>4</v>
      </c>
      <c r="AJ71" s="1280">
        <v>4</v>
      </c>
      <c r="AK71" s="1253">
        <v>1</v>
      </c>
      <c r="AL71" s="1253">
        <v>2</v>
      </c>
      <c r="AM71" s="1253">
        <v>2</v>
      </c>
      <c r="AN71" s="1253">
        <v>3</v>
      </c>
      <c r="AO71" s="1253">
        <v>2</v>
      </c>
      <c r="AP71" s="1253">
        <v>107</v>
      </c>
      <c r="AQ71" s="1253"/>
      <c r="AR71" s="1253">
        <v>2</v>
      </c>
      <c r="AS71" s="1253">
        <v>5</v>
      </c>
      <c r="AT71" s="1253">
        <v>2</v>
      </c>
      <c r="AU71" s="1253"/>
      <c r="AV71" s="1133">
        <f t="shared" si="84"/>
        <v>3.81</v>
      </c>
      <c r="AW71" s="1134">
        <f t="shared" si="85"/>
        <v>1.05</v>
      </c>
      <c r="AX71" s="1134">
        <f t="shared" si="86"/>
        <v>0.15</v>
      </c>
      <c r="AY71" s="1135">
        <f t="shared" si="87"/>
        <v>3.9200000000000004</v>
      </c>
      <c r="AZ71" s="1136">
        <f t="shared" si="88"/>
        <v>0.99999926267254036</v>
      </c>
      <c r="BA71" s="1137">
        <f t="shared" si="89"/>
        <v>0.89993809999999996</v>
      </c>
      <c r="BB71" s="956">
        <f t="shared" si="90"/>
        <v>1.1599999999999999</v>
      </c>
      <c r="BC71" s="1138">
        <f t="shared" si="91"/>
        <v>1</v>
      </c>
      <c r="BD71" s="1139">
        <f t="shared" si="92"/>
        <v>93.78</v>
      </c>
      <c r="BE71" s="1138">
        <f t="shared" si="93"/>
        <v>0.4681011284393265</v>
      </c>
      <c r="BF71" s="1140">
        <f t="shared" si="94"/>
        <v>1</v>
      </c>
      <c r="BG71" s="1137">
        <f t="shared" si="95"/>
        <v>0.03</v>
      </c>
      <c r="BH71" s="956">
        <f t="shared" si="96"/>
        <v>1</v>
      </c>
      <c r="BI71" s="956">
        <f t="shared" si="97"/>
        <v>1.08</v>
      </c>
      <c r="BJ71" s="956">
        <f t="shared" si="98"/>
        <v>0</v>
      </c>
      <c r="BK71" s="956">
        <f t="shared" si="99"/>
        <v>1.08</v>
      </c>
      <c r="BL71" s="956">
        <f t="shared" si="100"/>
        <v>0</v>
      </c>
      <c r="BM71" s="1141">
        <f t="shared" si="101"/>
        <v>1935.1578947368421</v>
      </c>
      <c r="BN71" s="1142">
        <f t="shared" si="102"/>
        <v>1</v>
      </c>
      <c r="BO71" s="1143">
        <f t="shared" si="103"/>
        <v>0.43227500000000002</v>
      </c>
      <c r="BP71" s="1144">
        <f t="shared" si="104"/>
        <v>0.9</v>
      </c>
      <c r="BQ71" s="1134">
        <f t="shared" si="105"/>
        <v>0.9</v>
      </c>
      <c r="BR71" s="1145" t="str">
        <f t="shared" si="106"/>
        <v>.</v>
      </c>
      <c r="BS71" s="1146" t="e">
        <f t="shared" si="107"/>
        <v>#VALUE!</v>
      </c>
      <c r="BT71" s="1147">
        <f>VLOOKUP(AP71,'CROP FACTORS'!$C$5:$N$130,7,FALSE)</f>
        <v>4.5</v>
      </c>
      <c r="BU71" s="1148">
        <f>VLOOKUP(AP71,'CROP FACTORS'!$C$5:$P$130,8,FALSE)</f>
        <v>1</v>
      </c>
      <c r="BV71" s="1149">
        <f t="shared" si="108"/>
        <v>4.117</v>
      </c>
      <c r="BW71" s="1150">
        <f t="shared" si="109"/>
        <v>0.92928063769614433</v>
      </c>
      <c r="BX71" s="1137">
        <f>VLOOKUP(AP71,'CROP FACTORS'!$C$5:$N$130,10,FALSE)</f>
        <v>6</v>
      </c>
      <c r="BY71" s="1138">
        <f t="shared" si="110"/>
        <v>59.366173199999992</v>
      </c>
      <c r="BZ71" s="956">
        <f t="shared" si="111"/>
        <v>0.01</v>
      </c>
      <c r="CA71" s="956">
        <f t="shared" si="112"/>
        <v>1.01</v>
      </c>
      <c r="CB71" s="1148">
        <f t="shared" si="113"/>
        <v>61.716598729334393</v>
      </c>
      <c r="CC71" s="1148">
        <f t="shared" si="114"/>
        <v>60.55943328131999</v>
      </c>
      <c r="CD71" s="956">
        <f t="shared" si="115"/>
        <v>140</v>
      </c>
      <c r="CE71" s="956">
        <f t="shared" si="116"/>
        <v>90000</v>
      </c>
      <c r="CF71" s="956">
        <f t="shared" si="117"/>
        <v>1.4</v>
      </c>
      <c r="CG71" s="956">
        <f t="shared" si="118"/>
        <v>0.02</v>
      </c>
      <c r="CH71" s="956">
        <f t="shared" si="119"/>
        <v>130939.2</v>
      </c>
      <c r="CI71" s="956">
        <f t="shared" si="120"/>
        <v>128519.99999999999</v>
      </c>
      <c r="CJ71" s="1138">
        <f t="shared" si="121"/>
        <v>1.25</v>
      </c>
      <c r="CK71" s="1138">
        <f t="shared" si="122"/>
        <v>2.1</v>
      </c>
      <c r="CL71" s="1138">
        <f t="shared" si="123"/>
        <v>1.25</v>
      </c>
      <c r="CM71" s="1138">
        <f t="shared" si="124"/>
        <v>1.25</v>
      </c>
      <c r="CN71" s="1151">
        <f t="shared" si="125"/>
        <v>13.4</v>
      </c>
      <c r="CO71" s="1138">
        <f t="shared" si="126"/>
        <v>1</v>
      </c>
      <c r="CP71" s="1138">
        <f t="shared" si="127"/>
        <v>1</v>
      </c>
      <c r="CQ71" s="1152">
        <f t="shared" si="128"/>
        <v>1</v>
      </c>
      <c r="CR71" s="1153">
        <f t="shared" si="129"/>
        <v>1</v>
      </c>
      <c r="CS71" s="1137">
        <f t="shared" si="130"/>
        <v>0.79600000000000004</v>
      </c>
      <c r="CT71" s="956">
        <f t="shared" si="131"/>
        <v>16.945</v>
      </c>
      <c r="CU71" s="956">
        <f t="shared" si="132"/>
        <v>-10.79</v>
      </c>
      <c r="CV71" s="956">
        <f t="shared" si="133"/>
        <v>0</v>
      </c>
      <c r="CW71" s="956">
        <f t="shared" si="134"/>
        <v>9.3587152000000007</v>
      </c>
      <c r="CX71" s="956">
        <f t="shared" si="135"/>
        <v>-10.275524000000001</v>
      </c>
      <c r="CY71" s="1154">
        <f t="shared" si="136"/>
        <v>0.94056738585517841</v>
      </c>
      <c r="CZ71" s="1155">
        <f t="shared" si="137"/>
        <v>0.99399998127079803</v>
      </c>
      <c r="DA71" s="1137" t="e">
        <f>MIN(VLOOKUP(AP71,'CROP FACTORS'!$C$5:$N$130,2,FALSE),VLOOKUP(AQ71,'CROP FACTORS'!$C$5:$N$130,2,FALSE))</f>
        <v>#N/A</v>
      </c>
      <c r="DB71" s="956" t="e">
        <f>MIN(VLOOKUP(AP71,'CROP FACTORS'!$C$5:$N$130,4,FALSE),VLOOKUP(AQ71,'CROP FACTORS'!$C$5:$N$130,4,FALSE))</f>
        <v>#N/A</v>
      </c>
      <c r="DC71" s="1156" t="e">
        <f t="shared" si="138"/>
        <v>#N/A</v>
      </c>
      <c r="DD71" s="1138">
        <f t="shared" si="139"/>
        <v>1.22</v>
      </c>
      <c r="DE71" s="1157" t="str">
        <f t="shared" si="140"/>
        <v>.</v>
      </c>
      <c r="DF71" s="1138" t="e">
        <f t="shared" si="141"/>
        <v>#N/A</v>
      </c>
      <c r="DG71" s="1158" t="e">
        <f t="shared" si="142"/>
        <v>#N/A</v>
      </c>
      <c r="DH71" s="1159" t="str">
        <f t="shared" si="143"/>
        <v>.</v>
      </c>
      <c r="DI71" s="1153" t="e">
        <f t="shared" si="144"/>
        <v>#VALUE!</v>
      </c>
      <c r="DJ71" s="1133">
        <f t="shared" si="145"/>
        <v>5.8</v>
      </c>
      <c r="DK71" s="1160">
        <f t="shared" si="146"/>
        <v>2.7</v>
      </c>
      <c r="DL71" s="1134">
        <f t="shared" si="147"/>
        <v>2.1</v>
      </c>
      <c r="DM71" s="1161">
        <f t="shared" si="148"/>
        <v>381.22070448070468</v>
      </c>
      <c r="DN71" s="1144">
        <f t="shared" si="149"/>
        <v>48.546000000000006</v>
      </c>
      <c r="DO71" s="1162">
        <f t="shared" si="150"/>
        <v>1.0099995514701576</v>
      </c>
      <c r="DP71" s="1163">
        <f t="shared" si="151"/>
        <v>1</v>
      </c>
      <c r="DQ71" s="1133">
        <f t="shared" si="152"/>
        <v>1.0745</v>
      </c>
      <c r="DR71" s="1134">
        <f t="shared" si="153"/>
        <v>-1.3429999999999999E-2</v>
      </c>
      <c r="DS71" s="1164">
        <f t="shared" si="154"/>
        <v>73.899000000000001</v>
      </c>
      <c r="DT71" s="1146">
        <f t="shared" si="155"/>
        <v>0.67622323777913451</v>
      </c>
      <c r="DU71" s="1165">
        <f t="shared" si="156"/>
        <v>0.99999926267254036</v>
      </c>
      <c r="DV71" s="1166">
        <f t="shared" si="157"/>
        <v>1</v>
      </c>
      <c r="DW71" s="1166">
        <f t="shared" si="158"/>
        <v>1</v>
      </c>
      <c r="DX71" s="1166"/>
      <c r="DY71" s="1166">
        <f t="shared" si="159"/>
        <v>0.92928063769614433</v>
      </c>
      <c r="DZ71" s="1166">
        <f t="shared" si="160"/>
        <v>1</v>
      </c>
      <c r="EA71" s="1138"/>
      <c r="EB71" s="1166">
        <f t="shared" si="161"/>
        <v>0.99399998127079803</v>
      </c>
      <c r="EC71" s="1166"/>
      <c r="ED71" s="1138"/>
      <c r="EE71" s="1166">
        <f t="shared" si="162"/>
        <v>1</v>
      </c>
      <c r="EF71" s="1140">
        <f t="shared" si="163"/>
        <v>0.67622323777913451</v>
      </c>
      <c r="EG71" s="1159">
        <f t="shared" si="164"/>
        <v>7.5995031194186167</v>
      </c>
      <c r="EH71" s="1167">
        <f t="shared" si="165"/>
        <v>8</v>
      </c>
      <c r="EI71" s="1312">
        <f t="shared" si="166"/>
        <v>0.94993788992732708</v>
      </c>
      <c r="EJ71" s="1168">
        <f t="shared" si="167"/>
        <v>1.993999981270798</v>
      </c>
      <c r="EK71" s="1169">
        <f t="shared" si="168"/>
        <v>2</v>
      </c>
      <c r="EL71" s="1170">
        <f t="shared" si="169"/>
        <v>0.99699999063539901</v>
      </c>
      <c r="EM71" s="1159">
        <f t="shared" si="170"/>
        <v>0.92928063769614433</v>
      </c>
      <c r="EN71" s="1167">
        <f t="shared" si="171"/>
        <v>1</v>
      </c>
      <c r="EO71" s="1171">
        <f t="shared" si="172"/>
        <v>0.92928063769614433</v>
      </c>
      <c r="EP71" s="1168">
        <f t="shared" si="173"/>
        <v>2.9999992626725405</v>
      </c>
      <c r="EQ71" s="1169">
        <f t="shared" si="174"/>
        <v>3</v>
      </c>
      <c r="ER71" s="1146">
        <f t="shared" si="175"/>
        <v>0.99999975422418019</v>
      </c>
      <c r="ES71" s="1159">
        <f t="shared" si="176"/>
        <v>1.6762232377791344</v>
      </c>
      <c r="ET71" s="1167">
        <f t="shared" si="177"/>
        <v>2</v>
      </c>
      <c r="EU71" s="1155">
        <f t="shared" si="178"/>
        <v>0.8381116188895672</v>
      </c>
      <c r="EV71" s="1159">
        <f t="shared" si="179"/>
        <v>2.6055038754752786</v>
      </c>
      <c r="EW71" s="1167">
        <f t="shared" si="180"/>
        <v>3</v>
      </c>
      <c r="EX71" s="1155">
        <f t="shared" si="181"/>
        <v>0.86850129182509284</v>
      </c>
    </row>
    <row r="72" spans="2:154">
      <c r="B72" s="1218" t="s">
        <v>1274</v>
      </c>
      <c r="C72" s="1219">
        <v>8</v>
      </c>
      <c r="D72" s="1220" t="s">
        <v>1264</v>
      </c>
      <c r="E72" s="1220" t="s">
        <v>1265</v>
      </c>
      <c r="F72" s="1221" t="s">
        <v>1266</v>
      </c>
      <c r="V72" s="1268">
        <v>61.6</v>
      </c>
      <c r="W72" s="1276">
        <v>3.5</v>
      </c>
      <c r="X72" s="1260">
        <v>93.059999999999988</v>
      </c>
      <c r="Y72" s="1272">
        <v>2581.2648035121524</v>
      </c>
      <c r="Z72" s="1255" t="s">
        <v>1058</v>
      </c>
      <c r="AA72" s="1277">
        <v>4.4858000000000002</v>
      </c>
      <c r="AB72" s="1299">
        <v>16.399999999999999</v>
      </c>
      <c r="AC72" s="1291">
        <v>0.79848665870171232</v>
      </c>
      <c r="AD72" s="1271" t="s">
        <v>1058</v>
      </c>
      <c r="AE72" s="1271" t="s">
        <v>1058</v>
      </c>
      <c r="AF72" s="1254">
        <v>312.51</v>
      </c>
      <c r="AG72" s="1282">
        <v>106.352</v>
      </c>
      <c r="AH72" s="1253">
        <v>4</v>
      </c>
      <c r="AI72" s="1280">
        <v>4</v>
      </c>
      <c r="AJ72" s="1280">
        <v>4</v>
      </c>
      <c r="AK72" s="1253">
        <v>1</v>
      </c>
      <c r="AL72" s="1253">
        <v>2</v>
      </c>
      <c r="AM72" s="1253">
        <v>2</v>
      </c>
      <c r="AN72" s="1253">
        <v>3</v>
      </c>
      <c r="AO72" s="1253">
        <v>2</v>
      </c>
      <c r="AP72" s="1253">
        <v>107</v>
      </c>
      <c r="AQ72" s="1253"/>
      <c r="AR72" s="1253">
        <v>2</v>
      </c>
      <c r="AS72" s="1253">
        <v>5</v>
      </c>
      <c r="AT72" s="1253">
        <v>2</v>
      </c>
      <c r="AU72" s="1253"/>
      <c r="AV72" s="1133">
        <f t="shared" si="84"/>
        <v>3.81</v>
      </c>
      <c r="AW72" s="1134">
        <f t="shared" si="85"/>
        <v>1.05</v>
      </c>
      <c r="AX72" s="1134">
        <f t="shared" si="86"/>
        <v>0.15</v>
      </c>
      <c r="AY72" s="1135">
        <f t="shared" si="87"/>
        <v>3.5</v>
      </c>
      <c r="AZ72" s="1136">
        <f t="shared" si="88"/>
        <v>0.99999490879788377</v>
      </c>
      <c r="BA72" s="1137">
        <f t="shared" si="89"/>
        <v>0.89993809999999996</v>
      </c>
      <c r="BB72" s="956">
        <f t="shared" si="90"/>
        <v>1.1599999999999999</v>
      </c>
      <c r="BC72" s="1138">
        <f t="shared" si="91"/>
        <v>1</v>
      </c>
      <c r="BD72" s="1139">
        <f t="shared" si="92"/>
        <v>93.059999999999988</v>
      </c>
      <c r="BE72" s="1138">
        <f t="shared" si="93"/>
        <v>0.48608623579280541</v>
      </c>
      <c r="BF72" s="1140">
        <f t="shared" si="94"/>
        <v>1</v>
      </c>
      <c r="BG72" s="1137">
        <f t="shared" si="95"/>
        <v>0.03</v>
      </c>
      <c r="BH72" s="956">
        <f t="shared" si="96"/>
        <v>1</v>
      </c>
      <c r="BI72" s="956">
        <f t="shared" si="97"/>
        <v>1.08</v>
      </c>
      <c r="BJ72" s="956">
        <f t="shared" si="98"/>
        <v>0</v>
      </c>
      <c r="BK72" s="956">
        <f t="shared" si="99"/>
        <v>1.08</v>
      </c>
      <c r="BL72" s="956">
        <f t="shared" si="100"/>
        <v>0</v>
      </c>
      <c r="BM72" s="1141">
        <f t="shared" si="101"/>
        <v>2581.2648035121524</v>
      </c>
      <c r="BN72" s="1142">
        <f t="shared" si="102"/>
        <v>1</v>
      </c>
      <c r="BO72" s="1143">
        <f t="shared" si="103"/>
        <v>0.43227500000000002</v>
      </c>
      <c r="BP72" s="1144">
        <f t="shared" si="104"/>
        <v>0.9</v>
      </c>
      <c r="BQ72" s="1134">
        <f t="shared" si="105"/>
        <v>0.9</v>
      </c>
      <c r="BR72" s="1145" t="str">
        <f t="shared" si="106"/>
        <v>.</v>
      </c>
      <c r="BS72" s="1146" t="e">
        <f t="shared" si="107"/>
        <v>#VALUE!</v>
      </c>
      <c r="BT72" s="1147">
        <f>VLOOKUP(AP72,'CROP FACTORS'!$C$5:$N$130,7,FALSE)</f>
        <v>4.5</v>
      </c>
      <c r="BU72" s="1148">
        <f>VLOOKUP(AP72,'CROP FACTORS'!$C$5:$P$130,8,FALSE)</f>
        <v>1</v>
      </c>
      <c r="BV72" s="1149">
        <f t="shared" si="108"/>
        <v>4.4858000000000002</v>
      </c>
      <c r="BW72" s="1150">
        <f t="shared" si="109"/>
        <v>0.99989918508216535</v>
      </c>
      <c r="BX72" s="1137">
        <f>VLOOKUP(AP72,'CROP FACTORS'!$C$5:$N$130,10,FALSE)</f>
        <v>6</v>
      </c>
      <c r="BY72" s="1138">
        <f t="shared" si="110"/>
        <v>59.366173199999992</v>
      </c>
      <c r="BZ72" s="956">
        <f t="shared" si="111"/>
        <v>0.01</v>
      </c>
      <c r="CA72" s="956">
        <f t="shared" si="112"/>
        <v>1.01</v>
      </c>
      <c r="CB72" s="1148">
        <f t="shared" si="113"/>
        <v>61.464767422619992</v>
      </c>
      <c r="CC72" s="1148">
        <f t="shared" si="114"/>
        <v>60.55943328131999</v>
      </c>
      <c r="CD72" s="956">
        <f t="shared" si="115"/>
        <v>140</v>
      </c>
      <c r="CE72" s="956">
        <f t="shared" si="116"/>
        <v>90000</v>
      </c>
      <c r="CF72" s="956">
        <f t="shared" si="117"/>
        <v>1.4</v>
      </c>
      <c r="CG72" s="956">
        <f t="shared" si="118"/>
        <v>0.02</v>
      </c>
      <c r="CH72" s="956">
        <f t="shared" si="119"/>
        <v>130409.99999999999</v>
      </c>
      <c r="CI72" s="956">
        <f t="shared" si="120"/>
        <v>128519.99999999999</v>
      </c>
      <c r="CJ72" s="1138">
        <f t="shared" si="121"/>
        <v>1.25</v>
      </c>
      <c r="CK72" s="1138">
        <f t="shared" si="122"/>
        <v>2.1</v>
      </c>
      <c r="CL72" s="1138">
        <f t="shared" si="123"/>
        <v>1.25</v>
      </c>
      <c r="CM72" s="1138">
        <f t="shared" si="124"/>
        <v>1.25</v>
      </c>
      <c r="CN72" s="1151">
        <f t="shared" si="125"/>
        <v>16.399999999999999</v>
      </c>
      <c r="CO72" s="1138">
        <f t="shared" si="126"/>
        <v>1</v>
      </c>
      <c r="CP72" s="1138">
        <f t="shared" si="127"/>
        <v>1</v>
      </c>
      <c r="CQ72" s="1152">
        <f t="shared" si="128"/>
        <v>1</v>
      </c>
      <c r="CR72" s="1153">
        <f t="shared" si="129"/>
        <v>1</v>
      </c>
      <c r="CS72" s="1137">
        <f t="shared" si="130"/>
        <v>0.79600000000000004</v>
      </c>
      <c r="CT72" s="956">
        <f t="shared" si="131"/>
        <v>16.945</v>
      </c>
      <c r="CU72" s="956">
        <f t="shared" si="132"/>
        <v>-10.79</v>
      </c>
      <c r="CV72" s="956">
        <f t="shared" si="133"/>
        <v>0</v>
      </c>
      <c r="CW72" s="956">
        <f t="shared" si="134"/>
        <v>9.3587152000000007</v>
      </c>
      <c r="CX72" s="956">
        <f t="shared" si="135"/>
        <v>-10.275524000000001</v>
      </c>
      <c r="CY72" s="1154">
        <f t="shared" si="136"/>
        <v>0.79848665870171232</v>
      </c>
      <c r="CZ72" s="1155">
        <f t="shared" si="137"/>
        <v>0.99399999999999999</v>
      </c>
      <c r="DA72" s="1137" t="e">
        <f>MIN(VLOOKUP(AP72,'CROP FACTORS'!$C$5:$N$130,2,FALSE),VLOOKUP(AQ72,'CROP FACTORS'!$C$5:$N$130,2,FALSE))</f>
        <v>#N/A</v>
      </c>
      <c r="DB72" s="956" t="e">
        <f>MIN(VLOOKUP(AP72,'CROP FACTORS'!$C$5:$N$130,4,FALSE),VLOOKUP(AQ72,'CROP FACTORS'!$C$5:$N$130,4,FALSE))</f>
        <v>#N/A</v>
      </c>
      <c r="DC72" s="1156" t="e">
        <f t="shared" si="138"/>
        <v>#N/A</v>
      </c>
      <c r="DD72" s="1138">
        <f t="shared" si="139"/>
        <v>1.22</v>
      </c>
      <c r="DE72" s="1157" t="str">
        <f t="shared" si="140"/>
        <v>.</v>
      </c>
      <c r="DF72" s="1138" t="e">
        <f t="shared" si="141"/>
        <v>#N/A</v>
      </c>
      <c r="DG72" s="1158" t="e">
        <f t="shared" si="142"/>
        <v>#N/A</v>
      </c>
      <c r="DH72" s="1159" t="str">
        <f t="shared" si="143"/>
        <v>.</v>
      </c>
      <c r="DI72" s="1153" t="e">
        <f t="shared" si="144"/>
        <v>#VALUE!</v>
      </c>
      <c r="DJ72" s="1133">
        <f t="shared" si="145"/>
        <v>5.8</v>
      </c>
      <c r="DK72" s="1160">
        <f t="shared" si="146"/>
        <v>2.7</v>
      </c>
      <c r="DL72" s="1134">
        <f t="shared" si="147"/>
        <v>2.1</v>
      </c>
      <c r="DM72" s="1161">
        <f t="shared" si="148"/>
        <v>312.51</v>
      </c>
      <c r="DN72" s="1144">
        <f t="shared" si="149"/>
        <v>48.546000000000006</v>
      </c>
      <c r="DO72" s="1162">
        <f t="shared" si="150"/>
        <v>1.0099873982238861</v>
      </c>
      <c r="DP72" s="1163">
        <f t="shared" si="151"/>
        <v>1</v>
      </c>
      <c r="DQ72" s="1133">
        <f t="shared" si="152"/>
        <v>1.0745</v>
      </c>
      <c r="DR72" s="1134">
        <f t="shared" si="153"/>
        <v>-1.3429999999999999E-2</v>
      </c>
      <c r="DS72" s="1164">
        <f t="shared" si="154"/>
        <v>106.352</v>
      </c>
      <c r="DT72" s="1146">
        <f t="shared" si="155"/>
        <v>0.81692695337663013</v>
      </c>
      <c r="DU72" s="1165">
        <f t="shared" si="156"/>
        <v>0.99999490879788377</v>
      </c>
      <c r="DV72" s="1166">
        <f t="shared" si="157"/>
        <v>1</v>
      </c>
      <c r="DW72" s="1166">
        <f t="shared" si="158"/>
        <v>1</v>
      </c>
      <c r="DX72" s="1166"/>
      <c r="DY72" s="1166">
        <f t="shared" si="159"/>
        <v>0.99989918508216535</v>
      </c>
      <c r="DZ72" s="1166">
        <f t="shared" si="160"/>
        <v>1</v>
      </c>
      <c r="EA72" s="1138"/>
      <c r="EB72" s="1166">
        <f t="shared" si="161"/>
        <v>0.99399999999999999</v>
      </c>
      <c r="EC72" s="1166"/>
      <c r="ED72" s="1138"/>
      <c r="EE72" s="1166">
        <f t="shared" si="162"/>
        <v>1</v>
      </c>
      <c r="EF72" s="1140">
        <f t="shared" si="163"/>
        <v>0.81692695337663013</v>
      </c>
      <c r="EG72" s="1159">
        <f t="shared" si="164"/>
        <v>7.8108210472566793</v>
      </c>
      <c r="EH72" s="1167">
        <f t="shared" si="165"/>
        <v>8</v>
      </c>
      <c r="EI72" s="1312">
        <f t="shared" si="166"/>
        <v>0.97635263090708491</v>
      </c>
      <c r="EJ72" s="1168">
        <f t="shared" si="167"/>
        <v>1.994</v>
      </c>
      <c r="EK72" s="1169">
        <f t="shared" si="168"/>
        <v>2</v>
      </c>
      <c r="EL72" s="1170">
        <f t="shared" si="169"/>
        <v>0.997</v>
      </c>
      <c r="EM72" s="1159">
        <f t="shared" si="170"/>
        <v>0.99989918508216535</v>
      </c>
      <c r="EN72" s="1167">
        <f t="shared" si="171"/>
        <v>1</v>
      </c>
      <c r="EO72" s="1171">
        <f t="shared" si="172"/>
        <v>0.99989918508216535</v>
      </c>
      <c r="EP72" s="1168">
        <f t="shared" si="173"/>
        <v>2.9999949087978837</v>
      </c>
      <c r="EQ72" s="1169">
        <f t="shared" si="174"/>
        <v>3</v>
      </c>
      <c r="ER72" s="1146">
        <f t="shared" si="175"/>
        <v>0.99999830293262792</v>
      </c>
      <c r="ES72" s="1159">
        <f t="shared" si="176"/>
        <v>1.8169269533766301</v>
      </c>
      <c r="ET72" s="1167">
        <f t="shared" si="177"/>
        <v>2</v>
      </c>
      <c r="EU72" s="1155">
        <f t="shared" si="178"/>
        <v>0.90846347668831506</v>
      </c>
      <c r="EV72" s="1159">
        <f t="shared" si="179"/>
        <v>2.8168261384587954</v>
      </c>
      <c r="EW72" s="1167">
        <f t="shared" si="180"/>
        <v>3</v>
      </c>
      <c r="EX72" s="1155">
        <f t="shared" si="181"/>
        <v>0.93894204615293175</v>
      </c>
    </row>
    <row r="73" spans="2:154">
      <c r="B73" s="1218" t="s">
        <v>1274</v>
      </c>
      <c r="C73" s="1219">
        <v>9</v>
      </c>
      <c r="D73" s="1220" t="s">
        <v>1264</v>
      </c>
      <c r="E73" s="1220" t="s">
        <v>1265</v>
      </c>
      <c r="F73" s="1221" t="s">
        <v>1266</v>
      </c>
      <c r="V73" s="1286">
        <v>61.2</v>
      </c>
      <c r="W73" s="1295">
        <v>2.9550000000000001</v>
      </c>
      <c r="X73" s="1298">
        <v>88.866666666666674</v>
      </c>
      <c r="Y73" s="1289">
        <v>2568.259317917853</v>
      </c>
      <c r="Z73" s="1255" t="s">
        <v>1058</v>
      </c>
      <c r="AA73" s="1293">
        <v>4.3014000000000001</v>
      </c>
      <c r="AB73" s="1297">
        <v>7.2</v>
      </c>
      <c r="AC73" s="1288">
        <v>0.8590740976916208</v>
      </c>
      <c r="AD73" s="1271" t="s">
        <v>1058</v>
      </c>
      <c r="AE73" s="1271" t="s">
        <v>1058</v>
      </c>
      <c r="AF73" s="1264">
        <v>225.92787878787871</v>
      </c>
      <c r="AG73" s="1288">
        <v>68.424999999999997</v>
      </c>
      <c r="AH73" s="1257">
        <v>4</v>
      </c>
      <c r="AI73" s="1257">
        <v>4</v>
      </c>
      <c r="AJ73" s="1257">
        <v>4</v>
      </c>
      <c r="AK73" s="1257">
        <v>1</v>
      </c>
      <c r="AL73" s="1257">
        <v>2</v>
      </c>
      <c r="AM73" s="1257">
        <v>2</v>
      </c>
      <c r="AN73" s="1257">
        <v>3</v>
      </c>
      <c r="AO73" s="1257">
        <v>2</v>
      </c>
      <c r="AP73" s="1253">
        <v>107</v>
      </c>
      <c r="AQ73" s="1257"/>
      <c r="AR73" s="1257">
        <v>2</v>
      </c>
      <c r="AS73" s="1257">
        <v>5</v>
      </c>
      <c r="AT73" s="1257">
        <v>2</v>
      </c>
      <c r="AU73" s="1257"/>
      <c r="AV73" s="1133">
        <f t="shared" si="84"/>
        <v>3.81</v>
      </c>
      <c r="AW73" s="1134">
        <f t="shared" si="85"/>
        <v>1.05</v>
      </c>
      <c r="AX73" s="1134">
        <f t="shared" si="86"/>
        <v>0.15</v>
      </c>
      <c r="AY73" s="1135">
        <f t="shared" si="87"/>
        <v>2.9550000000000001</v>
      </c>
      <c r="AZ73" s="1136">
        <f t="shared" si="88"/>
        <v>0.99993752478213893</v>
      </c>
      <c r="BA73" s="1137">
        <f t="shared" si="89"/>
        <v>0.89993809999999996</v>
      </c>
      <c r="BB73" s="956">
        <f t="shared" si="90"/>
        <v>1.1599999999999999</v>
      </c>
      <c r="BC73" s="1138">
        <f t="shared" si="91"/>
        <v>1</v>
      </c>
      <c r="BD73" s="1139">
        <f t="shared" si="92"/>
        <v>88.866666666666674</v>
      </c>
      <c r="BE73" s="1138">
        <f t="shared" si="93"/>
        <v>0.58565972420697709</v>
      </c>
      <c r="BF73" s="1140">
        <f t="shared" si="94"/>
        <v>1</v>
      </c>
      <c r="BG73" s="1137">
        <f t="shared" si="95"/>
        <v>0.03</v>
      </c>
      <c r="BH73" s="956">
        <f t="shared" si="96"/>
        <v>1</v>
      </c>
      <c r="BI73" s="956">
        <f t="shared" si="97"/>
        <v>1.08</v>
      </c>
      <c r="BJ73" s="956">
        <f t="shared" si="98"/>
        <v>0</v>
      </c>
      <c r="BK73" s="956">
        <f t="shared" si="99"/>
        <v>1.08</v>
      </c>
      <c r="BL73" s="956">
        <f t="shared" si="100"/>
        <v>0</v>
      </c>
      <c r="BM73" s="1141">
        <f t="shared" si="101"/>
        <v>2568.259317917853</v>
      </c>
      <c r="BN73" s="1142">
        <f t="shared" si="102"/>
        <v>1</v>
      </c>
      <c r="BO73" s="1143">
        <f t="shared" si="103"/>
        <v>0.43227500000000002</v>
      </c>
      <c r="BP73" s="1144">
        <f t="shared" si="104"/>
        <v>0.9</v>
      </c>
      <c r="BQ73" s="1134">
        <f t="shared" si="105"/>
        <v>0.9</v>
      </c>
      <c r="BR73" s="1145" t="str">
        <f t="shared" si="106"/>
        <v>.</v>
      </c>
      <c r="BS73" s="1146" t="e">
        <f t="shared" si="107"/>
        <v>#VALUE!</v>
      </c>
      <c r="BT73" s="1147">
        <f>VLOOKUP(AP73,'CROP FACTORS'!$C$5:$N$130,7,FALSE)</f>
        <v>4.5</v>
      </c>
      <c r="BU73" s="1148">
        <f>VLOOKUP(AP73,'CROP FACTORS'!$C$5:$P$130,8,FALSE)</f>
        <v>1</v>
      </c>
      <c r="BV73" s="1149">
        <f t="shared" si="108"/>
        <v>4.3014000000000001</v>
      </c>
      <c r="BW73" s="1150">
        <f t="shared" si="109"/>
        <v>0.98047220649942246</v>
      </c>
      <c r="BX73" s="1137">
        <f>VLOOKUP(AP73,'CROP FACTORS'!$C$5:$N$130,10,FALSE)</f>
        <v>6</v>
      </c>
      <c r="BY73" s="1138">
        <f t="shared" si="110"/>
        <v>59.366173199999992</v>
      </c>
      <c r="BZ73" s="956">
        <f t="shared" si="111"/>
        <v>0.01</v>
      </c>
      <c r="CA73" s="956">
        <f t="shared" si="112"/>
        <v>1.01</v>
      </c>
      <c r="CB73" s="1148">
        <f t="shared" si="113"/>
        <v>61.137986322240593</v>
      </c>
      <c r="CC73" s="1148">
        <f t="shared" si="114"/>
        <v>60.55943328131999</v>
      </c>
      <c r="CD73" s="956">
        <f t="shared" si="115"/>
        <v>140</v>
      </c>
      <c r="CE73" s="956">
        <f t="shared" si="116"/>
        <v>90000</v>
      </c>
      <c r="CF73" s="956">
        <f t="shared" si="117"/>
        <v>1.4</v>
      </c>
      <c r="CG73" s="956">
        <f t="shared" si="118"/>
        <v>0.02</v>
      </c>
      <c r="CH73" s="956">
        <f t="shared" si="119"/>
        <v>129723.29999999999</v>
      </c>
      <c r="CI73" s="956">
        <f t="shared" si="120"/>
        <v>128519.99999999999</v>
      </c>
      <c r="CJ73" s="1138">
        <f t="shared" si="121"/>
        <v>1.25</v>
      </c>
      <c r="CK73" s="1138">
        <f t="shared" si="122"/>
        <v>2.1</v>
      </c>
      <c r="CL73" s="1138">
        <f t="shared" si="123"/>
        <v>1.25</v>
      </c>
      <c r="CM73" s="1138">
        <f t="shared" si="124"/>
        <v>1.25</v>
      </c>
      <c r="CN73" s="1151">
        <f t="shared" si="125"/>
        <v>7.2</v>
      </c>
      <c r="CO73" s="1138">
        <f t="shared" si="126"/>
        <v>0.93152687804953194</v>
      </c>
      <c r="CP73" s="1138">
        <f t="shared" si="127"/>
        <v>0.93213086669825329</v>
      </c>
      <c r="CQ73" s="1152">
        <f t="shared" si="128"/>
        <v>0.93152687804953194</v>
      </c>
      <c r="CR73" s="1153">
        <f t="shared" si="129"/>
        <v>0.93213086669825329</v>
      </c>
      <c r="CS73" s="1137">
        <f t="shared" si="130"/>
        <v>0.79600000000000004</v>
      </c>
      <c r="CT73" s="956">
        <f t="shared" si="131"/>
        <v>16.945</v>
      </c>
      <c r="CU73" s="956">
        <f t="shared" si="132"/>
        <v>-10.79</v>
      </c>
      <c r="CV73" s="956">
        <f t="shared" si="133"/>
        <v>0</v>
      </c>
      <c r="CW73" s="956">
        <f t="shared" si="134"/>
        <v>9.3587152000000007</v>
      </c>
      <c r="CX73" s="956">
        <f t="shared" si="135"/>
        <v>-10.275524000000001</v>
      </c>
      <c r="CY73" s="1154">
        <f t="shared" si="136"/>
        <v>0.8590740976916208</v>
      </c>
      <c r="CZ73" s="1155">
        <f t="shared" si="137"/>
        <v>0.99399999999999999</v>
      </c>
      <c r="DA73" s="1137" t="e">
        <f>MIN(VLOOKUP(AP73,'CROP FACTORS'!$C$5:$N$130,2,FALSE),VLOOKUP(AQ73,'CROP FACTORS'!$C$5:$N$130,2,FALSE))</f>
        <v>#N/A</v>
      </c>
      <c r="DB73" s="956" t="e">
        <f>MIN(VLOOKUP(AP73,'CROP FACTORS'!$C$5:$N$130,4,FALSE),VLOOKUP(AQ73,'CROP FACTORS'!$C$5:$N$130,4,FALSE))</f>
        <v>#N/A</v>
      </c>
      <c r="DC73" s="1156" t="e">
        <f t="shared" si="138"/>
        <v>#N/A</v>
      </c>
      <c r="DD73" s="1138">
        <f t="shared" si="139"/>
        <v>1.22</v>
      </c>
      <c r="DE73" s="1157" t="str">
        <f t="shared" si="140"/>
        <v>.</v>
      </c>
      <c r="DF73" s="1138" t="e">
        <f t="shared" si="141"/>
        <v>#N/A</v>
      </c>
      <c r="DG73" s="1158" t="e">
        <f t="shared" si="142"/>
        <v>#N/A</v>
      </c>
      <c r="DH73" s="1159" t="str">
        <f t="shared" si="143"/>
        <v>.</v>
      </c>
      <c r="DI73" s="1153" t="e">
        <f t="shared" si="144"/>
        <v>#VALUE!</v>
      </c>
      <c r="DJ73" s="1133">
        <f t="shared" si="145"/>
        <v>5.8</v>
      </c>
      <c r="DK73" s="1160">
        <f t="shared" si="146"/>
        <v>2.7</v>
      </c>
      <c r="DL73" s="1134">
        <f t="shared" si="147"/>
        <v>2.1</v>
      </c>
      <c r="DM73" s="1161">
        <f t="shared" si="148"/>
        <v>225.92787878787871</v>
      </c>
      <c r="DN73" s="1144">
        <f t="shared" si="149"/>
        <v>48.546000000000006</v>
      </c>
      <c r="DO73" s="1162">
        <f t="shared" si="150"/>
        <v>1.0091576197538534</v>
      </c>
      <c r="DP73" s="1163">
        <f t="shared" si="151"/>
        <v>1</v>
      </c>
      <c r="DQ73" s="1133">
        <f t="shared" si="152"/>
        <v>1.0745</v>
      </c>
      <c r="DR73" s="1134">
        <f t="shared" si="153"/>
        <v>-1.3429999999999999E-2</v>
      </c>
      <c r="DS73" s="1164">
        <f t="shared" si="154"/>
        <v>68.424999999999997</v>
      </c>
      <c r="DT73" s="1146">
        <f t="shared" si="155"/>
        <v>0.64584047059401539</v>
      </c>
      <c r="DU73" s="1165">
        <f t="shared" si="156"/>
        <v>0.99993752478213893</v>
      </c>
      <c r="DV73" s="1166">
        <f t="shared" si="157"/>
        <v>1</v>
      </c>
      <c r="DW73" s="1166">
        <f t="shared" si="158"/>
        <v>1</v>
      </c>
      <c r="DX73" s="1166"/>
      <c r="DY73" s="1166">
        <f t="shared" si="159"/>
        <v>0.98047220649942246</v>
      </c>
      <c r="DZ73" s="1166">
        <f t="shared" si="160"/>
        <v>0.93152687804953194</v>
      </c>
      <c r="EA73" s="1138"/>
      <c r="EB73" s="1166">
        <f t="shared" si="161"/>
        <v>0.99399999999999999</v>
      </c>
      <c r="EC73" s="1166"/>
      <c r="ED73" s="1138"/>
      <c r="EE73" s="1166">
        <f t="shared" si="162"/>
        <v>1</v>
      </c>
      <c r="EF73" s="1140">
        <f t="shared" si="163"/>
        <v>0.64584047059401539</v>
      </c>
      <c r="EG73" s="1159">
        <f t="shared" si="164"/>
        <v>7.5517770799251078</v>
      </c>
      <c r="EH73" s="1167">
        <f t="shared" si="165"/>
        <v>8</v>
      </c>
      <c r="EI73" s="1312">
        <f t="shared" si="166"/>
        <v>0.94397213499063848</v>
      </c>
      <c r="EJ73" s="1168">
        <f t="shared" si="167"/>
        <v>1.994</v>
      </c>
      <c r="EK73" s="1169">
        <f t="shared" si="168"/>
        <v>2</v>
      </c>
      <c r="EL73" s="1170">
        <f t="shared" si="169"/>
        <v>0.997</v>
      </c>
      <c r="EM73" s="1159">
        <f t="shared" si="170"/>
        <v>0.98047220649942246</v>
      </c>
      <c r="EN73" s="1167">
        <f t="shared" si="171"/>
        <v>1</v>
      </c>
      <c r="EO73" s="1171">
        <f t="shared" si="172"/>
        <v>0.98047220649942246</v>
      </c>
      <c r="EP73" s="1168">
        <f t="shared" si="173"/>
        <v>2.9999375247821387</v>
      </c>
      <c r="EQ73" s="1169">
        <f t="shared" si="174"/>
        <v>3</v>
      </c>
      <c r="ER73" s="1146">
        <f t="shared" si="175"/>
        <v>0.99997917492737953</v>
      </c>
      <c r="ES73" s="1159">
        <f t="shared" si="176"/>
        <v>1.5773673486435473</v>
      </c>
      <c r="ET73" s="1167">
        <f t="shared" si="177"/>
        <v>2</v>
      </c>
      <c r="EU73" s="1155">
        <f t="shared" si="178"/>
        <v>0.78868367432177366</v>
      </c>
      <c r="EV73" s="1159">
        <f t="shared" si="179"/>
        <v>2.5578395551429698</v>
      </c>
      <c r="EW73" s="1167">
        <f t="shared" si="180"/>
        <v>3</v>
      </c>
      <c r="EX73" s="1155">
        <f t="shared" si="181"/>
        <v>0.8526131850476566</v>
      </c>
    </row>
    <row r="74" spans="2:154">
      <c r="B74" s="1239" t="s">
        <v>1274</v>
      </c>
      <c r="C74" s="1240">
        <v>1</v>
      </c>
      <c r="D74" s="1241" t="s">
        <v>1267</v>
      </c>
      <c r="E74" s="1241" t="s">
        <v>1268</v>
      </c>
      <c r="F74" s="1242" t="s">
        <v>1266</v>
      </c>
      <c r="V74" s="1278">
        <v>60.9</v>
      </c>
      <c r="W74" s="1262">
        <v>3.7700000000000005</v>
      </c>
      <c r="X74" s="1283">
        <v>94.24</v>
      </c>
      <c r="Y74" s="1272">
        <v>1941.0707070707099</v>
      </c>
      <c r="Z74" s="1255" t="s">
        <v>1058</v>
      </c>
      <c r="AA74" s="1277">
        <v>5.2233999999999998</v>
      </c>
      <c r="AB74" s="1261">
        <v>17</v>
      </c>
      <c r="AC74" s="1282">
        <v>1.1955630519830394</v>
      </c>
      <c r="AD74" s="1271" t="s">
        <v>1058</v>
      </c>
      <c r="AE74" s="1271" t="s">
        <v>1058</v>
      </c>
      <c r="AF74" s="1254">
        <v>105.94503882758212</v>
      </c>
      <c r="AG74" s="1282">
        <v>203.32</v>
      </c>
      <c r="AH74" s="1267">
        <v>4</v>
      </c>
      <c r="AI74" s="1267">
        <v>4</v>
      </c>
      <c r="AJ74" s="1267">
        <v>4</v>
      </c>
      <c r="AK74" s="1267">
        <v>1</v>
      </c>
      <c r="AL74" s="1267">
        <v>2</v>
      </c>
      <c r="AM74" s="1267">
        <v>2</v>
      </c>
      <c r="AN74" s="1267">
        <v>3</v>
      </c>
      <c r="AO74" s="1267">
        <v>2</v>
      </c>
      <c r="AP74" s="1267">
        <v>109</v>
      </c>
      <c r="AQ74" s="1267"/>
      <c r="AR74" s="1267">
        <v>2</v>
      </c>
      <c r="AS74" s="1267">
        <v>5</v>
      </c>
      <c r="AT74" s="1267">
        <v>2</v>
      </c>
      <c r="AU74" s="1267"/>
      <c r="AV74" s="1133">
        <f t="shared" si="84"/>
        <v>3.81</v>
      </c>
      <c r="AW74" s="1134">
        <f t="shared" si="85"/>
        <v>1.05</v>
      </c>
      <c r="AX74" s="1134">
        <f t="shared" si="86"/>
        <v>0.15</v>
      </c>
      <c r="AY74" s="1135">
        <f t="shared" si="87"/>
        <v>3.7700000000000005</v>
      </c>
      <c r="AZ74" s="1136">
        <f t="shared" si="88"/>
        <v>0.99999852985307336</v>
      </c>
      <c r="BA74" s="1137">
        <f t="shared" si="89"/>
        <v>0.89993809999999996</v>
      </c>
      <c r="BB74" s="956">
        <f t="shared" si="90"/>
        <v>1.1599999999999999</v>
      </c>
      <c r="BC74" s="1138">
        <f t="shared" si="91"/>
        <v>1</v>
      </c>
      <c r="BD74" s="1139">
        <f t="shared" si="92"/>
        <v>94.24</v>
      </c>
      <c r="BE74" s="1138">
        <f t="shared" si="93"/>
        <v>0.45647893387707772</v>
      </c>
      <c r="BF74" s="1140">
        <f t="shared" si="94"/>
        <v>1</v>
      </c>
      <c r="BG74" s="1137">
        <f t="shared" si="95"/>
        <v>0.03</v>
      </c>
      <c r="BH74" s="956">
        <f t="shared" si="96"/>
        <v>1</v>
      </c>
      <c r="BI74" s="956">
        <f t="shared" si="97"/>
        <v>1.08</v>
      </c>
      <c r="BJ74" s="956">
        <f t="shared" si="98"/>
        <v>0</v>
      </c>
      <c r="BK74" s="956">
        <f t="shared" si="99"/>
        <v>1.08</v>
      </c>
      <c r="BL74" s="956">
        <f t="shared" si="100"/>
        <v>0</v>
      </c>
      <c r="BM74" s="1141">
        <f t="shared" si="101"/>
        <v>1941.0707070707099</v>
      </c>
      <c r="BN74" s="1142">
        <f t="shared" si="102"/>
        <v>1</v>
      </c>
      <c r="BO74" s="1143">
        <f t="shared" si="103"/>
        <v>0.43227500000000002</v>
      </c>
      <c r="BP74" s="1144">
        <f t="shared" si="104"/>
        <v>0.9</v>
      </c>
      <c r="BQ74" s="1134">
        <f t="shared" si="105"/>
        <v>0.9</v>
      </c>
      <c r="BR74" s="1145" t="str">
        <f t="shared" si="106"/>
        <v>.</v>
      </c>
      <c r="BS74" s="1146" t="e">
        <f t="shared" si="107"/>
        <v>#VALUE!</v>
      </c>
      <c r="BT74" s="1147">
        <f>VLOOKUP(AP74,'CROP FACTORS'!$C$5:$N$130,7,FALSE)</f>
        <v>5.5</v>
      </c>
      <c r="BU74" s="1148">
        <f>VLOOKUP(AP74,'CROP FACTORS'!$C$5:$P$130,8,FALSE)</f>
        <v>1</v>
      </c>
      <c r="BV74" s="1149">
        <f t="shared" si="108"/>
        <v>5.2233999999999998</v>
      </c>
      <c r="BW74" s="1150">
        <f t="shared" si="109"/>
        <v>0.96246865459985875</v>
      </c>
      <c r="BX74" s="1137">
        <f>VLOOKUP(AP74,'CROP FACTORS'!$C$5:$N$130,10,FALSE)</f>
        <v>13</v>
      </c>
      <c r="BY74" s="1138">
        <f t="shared" si="110"/>
        <v>88.484687800000074</v>
      </c>
      <c r="BZ74" s="956">
        <f t="shared" si="111"/>
        <v>0.01</v>
      </c>
      <c r="CA74" s="956">
        <f t="shared" si="112"/>
        <v>1.01</v>
      </c>
      <c r="CB74" s="1148">
        <f t="shared" si="113"/>
        <v>91.853919257360673</v>
      </c>
      <c r="CC74" s="1148">
        <f t="shared" si="114"/>
        <v>90.263230024780086</v>
      </c>
      <c r="CD74" s="956">
        <f t="shared" si="115"/>
        <v>140</v>
      </c>
      <c r="CE74" s="956">
        <f t="shared" si="116"/>
        <v>90000</v>
      </c>
      <c r="CF74" s="956">
        <f t="shared" si="117"/>
        <v>1.4</v>
      </c>
      <c r="CG74" s="956">
        <f t="shared" si="118"/>
        <v>0.02</v>
      </c>
      <c r="CH74" s="956">
        <f t="shared" si="119"/>
        <v>130750.2</v>
      </c>
      <c r="CI74" s="956">
        <f t="shared" si="120"/>
        <v>128519.99999999999</v>
      </c>
      <c r="CJ74" s="1138">
        <f t="shared" si="121"/>
        <v>1.25</v>
      </c>
      <c r="CK74" s="1138">
        <f t="shared" si="122"/>
        <v>2.1</v>
      </c>
      <c r="CL74" s="1138">
        <f t="shared" si="123"/>
        <v>1.25</v>
      </c>
      <c r="CM74" s="1138">
        <f t="shared" si="124"/>
        <v>1.25</v>
      </c>
      <c r="CN74" s="1151">
        <f t="shared" si="125"/>
        <v>17</v>
      </c>
      <c r="CO74" s="1138">
        <f t="shared" si="126"/>
        <v>1</v>
      </c>
      <c r="CP74" s="1138">
        <f t="shared" si="127"/>
        <v>1</v>
      </c>
      <c r="CQ74" s="1152">
        <f t="shared" si="128"/>
        <v>1</v>
      </c>
      <c r="CR74" s="1153">
        <f t="shared" si="129"/>
        <v>1</v>
      </c>
      <c r="CS74" s="1137">
        <f t="shared" si="130"/>
        <v>0.79600000000000004</v>
      </c>
      <c r="CT74" s="956">
        <f t="shared" si="131"/>
        <v>16.945</v>
      </c>
      <c r="CU74" s="956">
        <f t="shared" si="132"/>
        <v>-10.79</v>
      </c>
      <c r="CV74" s="956">
        <f t="shared" si="133"/>
        <v>0</v>
      </c>
      <c r="CW74" s="956">
        <f t="shared" si="134"/>
        <v>9.3587152000000007</v>
      </c>
      <c r="CX74" s="956">
        <f t="shared" si="135"/>
        <v>-10.275524000000001</v>
      </c>
      <c r="CY74" s="1154">
        <f t="shared" si="136"/>
        <v>1.1955630519830394</v>
      </c>
      <c r="CZ74" s="1155">
        <f t="shared" si="137"/>
        <v>0.81517671368680622</v>
      </c>
      <c r="DA74" s="1137" t="e">
        <f>MIN(VLOOKUP(AP74,'CROP FACTORS'!$C$5:$N$130,2,FALSE),VLOOKUP(AQ74,'CROP FACTORS'!$C$5:$N$130,2,FALSE))</f>
        <v>#N/A</v>
      </c>
      <c r="DB74" s="956" t="e">
        <f>MIN(VLOOKUP(AP74,'CROP FACTORS'!$C$5:$N$130,4,FALSE),VLOOKUP(AQ74,'CROP FACTORS'!$C$5:$N$130,4,FALSE))</f>
        <v>#N/A</v>
      </c>
      <c r="DC74" s="1156" t="e">
        <f t="shared" si="138"/>
        <v>#N/A</v>
      </c>
      <c r="DD74" s="1138">
        <f t="shared" si="139"/>
        <v>1.22</v>
      </c>
      <c r="DE74" s="1157" t="str">
        <f t="shared" si="140"/>
        <v>.</v>
      </c>
      <c r="DF74" s="1138" t="e">
        <f t="shared" si="141"/>
        <v>#N/A</v>
      </c>
      <c r="DG74" s="1158" t="e">
        <f t="shared" si="142"/>
        <v>#N/A</v>
      </c>
      <c r="DH74" s="1159" t="str">
        <f t="shared" si="143"/>
        <v>.</v>
      </c>
      <c r="DI74" s="1153" t="e">
        <f t="shared" si="144"/>
        <v>#VALUE!</v>
      </c>
      <c r="DJ74" s="1133">
        <f t="shared" si="145"/>
        <v>5.8</v>
      </c>
      <c r="DK74" s="1160">
        <f t="shared" si="146"/>
        <v>2.7</v>
      </c>
      <c r="DL74" s="1134">
        <f t="shared" si="147"/>
        <v>2.1</v>
      </c>
      <c r="DM74" s="1161">
        <f t="shared" si="148"/>
        <v>105.94503882758212</v>
      </c>
      <c r="DN74" s="1144">
        <f t="shared" si="149"/>
        <v>48.546000000000006</v>
      </c>
      <c r="DO74" s="1162">
        <f t="shared" si="150"/>
        <v>0.78746040360516911</v>
      </c>
      <c r="DP74" s="1163">
        <f t="shared" si="151"/>
        <v>0.78746040360516911</v>
      </c>
      <c r="DQ74" s="1133">
        <f t="shared" si="152"/>
        <v>1.0745</v>
      </c>
      <c r="DR74" s="1134">
        <f t="shared" si="153"/>
        <v>-1.3429999999999999E-2</v>
      </c>
      <c r="DS74" s="1164">
        <f t="shared" si="154"/>
        <v>203.32</v>
      </c>
      <c r="DT74" s="1146">
        <f t="shared" si="155"/>
        <v>1</v>
      </c>
      <c r="DU74" s="1165">
        <f t="shared" si="156"/>
        <v>0.99999852985307336</v>
      </c>
      <c r="DV74" s="1166">
        <f t="shared" si="157"/>
        <v>1</v>
      </c>
      <c r="DW74" s="1166">
        <f t="shared" si="158"/>
        <v>1</v>
      </c>
      <c r="DX74" s="1166"/>
      <c r="DY74" s="1166">
        <f t="shared" si="159"/>
        <v>0.96246865459985875</v>
      </c>
      <c r="DZ74" s="1166">
        <f t="shared" si="160"/>
        <v>1</v>
      </c>
      <c r="EA74" s="1138"/>
      <c r="EB74" s="1166">
        <f t="shared" si="161"/>
        <v>0.81517671368680622</v>
      </c>
      <c r="EC74" s="1166"/>
      <c r="ED74" s="1138"/>
      <c r="EE74" s="1166">
        <f t="shared" si="162"/>
        <v>0.78746040360516911</v>
      </c>
      <c r="EF74" s="1140">
        <f t="shared" si="163"/>
        <v>1</v>
      </c>
      <c r="EG74" s="1159">
        <f t="shared" si="164"/>
        <v>7.5651043017449071</v>
      </c>
      <c r="EH74" s="1167">
        <f t="shared" si="165"/>
        <v>8</v>
      </c>
      <c r="EI74" s="1150">
        <f t="shared" si="166"/>
        <v>0.94563803771811339</v>
      </c>
      <c r="EJ74" s="1168">
        <f t="shared" si="167"/>
        <v>1.8151767136868062</v>
      </c>
      <c r="EK74" s="1169">
        <f t="shared" si="168"/>
        <v>2</v>
      </c>
      <c r="EL74" s="1170">
        <f t="shared" si="169"/>
        <v>0.90758835684340311</v>
      </c>
      <c r="EM74" s="1159">
        <f t="shared" si="170"/>
        <v>0.96246865459985875</v>
      </c>
      <c r="EN74" s="1167">
        <f t="shared" si="171"/>
        <v>1</v>
      </c>
      <c r="EO74" s="1171">
        <f t="shared" si="172"/>
        <v>0.96246865459985875</v>
      </c>
      <c r="EP74" s="1168">
        <f t="shared" si="173"/>
        <v>2.7874589334582422</v>
      </c>
      <c r="EQ74" s="1169">
        <f t="shared" si="174"/>
        <v>3</v>
      </c>
      <c r="ER74" s="1146">
        <f t="shared" si="175"/>
        <v>0.92915297781941408</v>
      </c>
      <c r="ES74" s="1159">
        <f t="shared" si="176"/>
        <v>2</v>
      </c>
      <c r="ET74" s="1167">
        <f t="shared" si="177"/>
        <v>2</v>
      </c>
      <c r="EU74" s="1155">
        <f t="shared" si="178"/>
        <v>1</v>
      </c>
      <c r="EV74" s="1159">
        <f t="shared" si="179"/>
        <v>2.9624686545998586</v>
      </c>
      <c r="EW74" s="1167">
        <f t="shared" si="180"/>
        <v>3</v>
      </c>
      <c r="EX74" s="1155">
        <f t="shared" si="181"/>
        <v>0.98748955153328621</v>
      </c>
    </row>
    <row r="75" spans="2:154">
      <c r="B75" s="1218" t="s">
        <v>1274</v>
      </c>
      <c r="C75" s="1219">
        <v>2</v>
      </c>
      <c r="D75" s="1226" t="s">
        <v>1267</v>
      </c>
      <c r="E75" s="1226" t="s">
        <v>1268</v>
      </c>
      <c r="F75" s="1227" t="s">
        <v>1266</v>
      </c>
      <c r="V75" s="1278">
        <v>59.5</v>
      </c>
      <c r="W75" s="1262">
        <v>4.12</v>
      </c>
      <c r="X75" s="1283">
        <v>96.179999999999993</v>
      </c>
      <c r="Y75" s="1272">
        <v>2116.1152263374465</v>
      </c>
      <c r="Z75" s="1255" t="s">
        <v>1058</v>
      </c>
      <c r="AA75" s="1277">
        <v>5.3155999999999999</v>
      </c>
      <c r="AB75" s="1261">
        <v>9.33</v>
      </c>
      <c r="AC75" s="1282">
        <v>1.2177009393960689</v>
      </c>
      <c r="AD75" s="1271" t="s">
        <v>1058</v>
      </c>
      <c r="AE75" s="1271" t="s">
        <v>1058</v>
      </c>
      <c r="AF75" s="1254">
        <v>119.71769657994743</v>
      </c>
      <c r="AG75" s="1282">
        <v>156.4</v>
      </c>
      <c r="AH75" s="1267">
        <v>4</v>
      </c>
      <c r="AI75" s="1267">
        <v>4</v>
      </c>
      <c r="AJ75" s="1267">
        <v>4</v>
      </c>
      <c r="AK75" s="1267">
        <v>1</v>
      </c>
      <c r="AL75" s="1267">
        <v>2</v>
      </c>
      <c r="AM75" s="1267">
        <v>2</v>
      </c>
      <c r="AN75" s="1267">
        <v>3</v>
      </c>
      <c r="AO75" s="1267">
        <v>2</v>
      </c>
      <c r="AP75" s="1267">
        <v>109</v>
      </c>
      <c r="AQ75" s="1267"/>
      <c r="AR75" s="1267">
        <v>2</v>
      </c>
      <c r="AS75" s="1267">
        <v>5</v>
      </c>
      <c r="AT75" s="1267">
        <v>2</v>
      </c>
      <c r="AU75" s="1267"/>
      <c r="AV75" s="1133">
        <f t="shared" si="84"/>
        <v>3.81</v>
      </c>
      <c r="AW75" s="1134">
        <f t="shared" si="85"/>
        <v>1.05</v>
      </c>
      <c r="AX75" s="1134">
        <f t="shared" si="86"/>
        <v>0.15</v>
      </c>
      <c r="AY75" s="1135">
        <f t="shared" si="87"/>
        <v>4.12</v>
      </c>
      <c r="AZ75" s="1136">
        <f t="shared" si="88"/>
        <v>0.99999970619462708</v>
      </c>
      <c r="BA75" s="1137">
        <f t="shared" si="89"/>
        <v>0.89993809999999996</v>
      </c>
      <c r="BB75" s="956">
        <f t="shared" si="90"/>
        <v>1.1599999999999999</v>
      </c>
      <c r="BC75" s="1138">
        <f t="shared" si="91"/>
        <v>1</v>
      </c>
      <c r="BD75" s="1139">
        <f t="shared" si="92"/>
        <v>96.179999999999993</v>
      </c>
      <c r="BE75" s="1138">
        <f t="shared" si="93"/>
        <v>0.40635745747808805</v>
      </c>
      <c r="BF75" s="1140">
        <f t="shared" si="94"/>
        <v>1</v>
      </c>
      <c r="BG75" s="1137">
        <f t="shared" si="95"/>
        <v>0.03</v>
      </c>
      <c r="BH75" s="956">
        <f t="shared" si="96"/>
        <v>1</v>
      </c>
      <c r="BI75" s="956">
        <f t="shared" si="97"/>
        <v>1.08</v>
      </c>
      <c r="BJ75" s="956">
        <f t="shared" si="98"/>
        <v>0</v>
      </c>
      <c r="BK75" s="956">
        <f t="shared" si="99"/>
        <v>1.08</v>
      </c>
      <c r="BL75" s="956">
        <f t="shared" si="100"/>
        <v>0</v>
      </c>
      <c r="BM75" s="1141">
        <f t="shared" si="101"/>
        <v>2116.1152263374465</v>
      </c>
      <c r="BN75" s="1142">
        <f t="shared" si="102"/>
        <v>1</v>
      </c>
      <c r="BO75" s="1143">
        <f t="shared" si="103"/>
        <v>0.43227500000000002</v>
      </c>
      <c r="BP75" s="1144">
        <f t="shared" si="104"/>
        <v>0.9</v>
      </c>
      <c r="BQ75" s="1134">
        <f t="shared" si="105"/>
        <v>0.9</v>
      </c>
      <c r="BR75" s="1145" t="str">
        <f t="shared" si="106"/>
        <v>.</v>
      </c>
      <c r="BS75" s="1146" t="e">
        <f t="shared" si="107"/>
        <v>#VALUE!</v>
      </c>
      <c r="BT75" s="1147">
        <f>VLOOKUP(AP75,'CROP FACTORS'!$C$5:$N$130,7,FALSE)</f>
        <v>5.5</v>
      </c>
      <c r="BU75" s="1148">
        <f>VLOOKUP(AP75,'CROP FACTORS'!$C$5:$P$130,8,FALSE)</f>
        <v>1</v>
      </c>
      <c r="BV75" s="1149">
        <f t="shared" si="108"/>
        <v>5.3155999999999999</v>
      </c>
      <c r="BW75" s="1150">
        <f t="shared" si="109"/>
        <v>0.98314203295490687</v>
      </c>
      <c r="BX75" s="1137">
        <f>VLOOKUP(AP75,'CROP FACTORS'!$C$5:$N$130,10,FALSE)</f>
        <v>13</v>
      </c>
      <c r="BY75" s="1138">
        <f t="shared" si="110"/>
        <v>88.484687800000074</v>
      </c>
      <c r="BZ75" s="956">
        <f t="shared" si="111"/>
        <v>0.01</v>
      </c>
      <c r="CA75" s="956">
        <f t="shared" si="112"/>
        <v>1.01</v>
      </c>
      <c r="CB75" s="1148">
        <f t="shared" si="113"/>
        <v>92.166712628733677</v>
      </c>
      <c r="CC75" s="1148">
        <f t="shared" si="114"/>
        <v>90.263230024780086</v>
      </c>
      <c r="CD75" s="956">
        <f t="shared" si="115"/>
        <v>140</v>
      </c>
      <c r="CE75" s="956">
        <f t="shared" si="116"/>
        <v>90000</v>
      </c>
      <c r="CF75" s="956">
        <f t="shared" si="117"/>
        <v>1.4</v>
      </c>
      <c r="CG75" s="956">
        <f t="shared" si="118"/>
        <v>0.02</v>
      </c>
      <c r="CH75" s="956">
        <f t="shared" si="119"/>
        <v>131191.19999999998</v>
      </c>
      <c r="CI75" s="956">
        <f t="shared" si="120"/>
        <v>128519.99999999999</v>
      </c>
      <c r="CJ75" s="1138">
        <f t="shared" si="121"/>
        <v>1.25</v>
      </c>
      <c r="CK75" s="1138">
        <f t="shared" si="122"/>
        <v>2.1</v>
      </c>
      <c r="CL75" s="1138">
        <f t="shared" si="123"/>
        <v>1.25</v>
      </c>
      <c r="CM75" s="1138">
        <f t="shared" si="124"/>
        <v>1.25</v>
      </c>
      <c r="CN75" s="1151">
        <f t="shared" si="125"/>
        <v>9.33</v>
      </c>
      <c r="CO75" s="1138">
        <f t="shared" si="126"/>
        <v>0.95225366278493995</v>
      </c>
      <c r="CP75" s="1138">
        <f t="shared" si="127"/>
        <v>0.95319359339467702</v>
      </c>
      <c r="CQ75" s="1152">
        <f t="shared" si="128"/>
        <v>0.95225366278493995</v>
      </c>
      <c r="CR75" s="1153">
        <f t="shared" si="129"/>
        <v>0.95319359339467702</v>
      </c>
      <c r="CS75" s="1137">
        <f t="shared" si="130"/>
        <v>0.79600000000000004</v>
      </c>
      <c r="CT75" s="956">
        <f t="shared" si="131"/>
        <v>16.945</v>
      </c>
      <c r="CU75" s="956">
        <f t="shared" si="132"/>
        <v>-10.79</v>
      </c>
      <c r="CV75" s="956">
        <f t="shared" si="133"/>
        <v>0</v>
      </c>
      <c r="CW75" s="956">
        <f t="shared" si="134"/>
        <v>9.3587152000000007</v>
      </c>
      <c r="CX75" s="956">
        <f t="shared" si="135"/>
        <v>-10.275524000000001</v>
      </c>
      <c r="CY75" s="1154">
        <f t="shared" si="136"/>
        <v>1.2177009393960689</v>
      </c>
      <c r="CZ75" s="1155">
        <f t="shared" si="137"/>
        <v>0.76287358945519612</v>
      </c>
      <c r="DA75" s="1137" t="e">
        <f>MIN(VLOOKUP(AP75,'CROP FACTORS'!$C$5:$N$130,2,FALSE),VLOOKUP(AQ75,'CROP FACTORS'!$C$5:$N$130,2,FALSE))</f>
        <v>#N/A</v>
      </c>
      <c r="DB75" s="956" t="e">
        <f>MIN(VLOOKUP(AP75,'CROP FACTORS'!$C$5:$N$130,4,FALSE),VLOOKUP(AQ75,'CROP FACTORS'!$C$5:$N$130,4,FALSE))</f>
        <v>#N/A</v>
      </c>
      <c r="DC75" s="1156" t="e">
        <f t="shared" si="138"/>
        <v>#N/A</v>
      </c>
      <c r="DD75" s="1138">
        <f t="shared" si="139"/>
        <v>1.22</v>
      </c>
      <c r="DE75" s="1157" t="str">
        <f t="shared" si="140"/>
        <v>.</v>
      </c>
      <c r="DF75" s="1138" t="e">
        <f t="shared" si="141"/>
        <v>#N/A</v>
      </c>
      <c r="DG75" s="1158" t="e">
        <f t="shared" si="142"/>
        <v>#N/A</v>
      </c>
      <c r="DH75" s="1159" t="str">
        <f t="shared" si="143"/>
        <v>.</v>
      </c>
      <c r="DI75" s="1153" t="e">
        <f t="shared" si="144"/>
        <v>#VALUE!</v>
      </c>
      <c r="DJ75" s="1133">
        <f t="shared" si="145"/>
        <v>5.8</v>
      </c>
      <c r="DK75" s="1160">
        <f t="shared" si="146"/>
        <v>2.7</v>
      </c>
      <c r="DL75" s="1134">
        <f t="shared" si="147"/>
        <v>2.1</v>
      </c>
      <c r="DM75" s="1161">
        <f t="shared" si="148"/>
        <v>119.71769657994743</v>
      </c>
      <c r="DN75" s="1144">
        <f t="shared" si="149"/>
        <v>48.546000000000006</v>
      </c>
      <c r="DO75" s="1162">
        <f t="shared" si="150"/>
        <v>0.88224054242802386</v>
      </c>
      <c r="DP75" s="1163">
        <f t="shared" si="151"/>
        <v>0.88224054242802386</v>
      </c>
      <c r="DQ75" s="1133">
        <f t="shared" si="152"/>
        <v>1.0745</v>
      </c>
      <c r="DR75" s="1134">
        <f t="shared" si="153"/>
        <v>-1.3429999999999999E-2</v>
      </c>
      <c r="DS75" s="1164">
        <f t="shared" si="154"/>
        <v>156.4</v>
      </c>
      <c r="DT75" s="1146">
        <f t="shared" si="155"/>
        <v>0.94298002830642902</v>
      </c>
      <c r="DU75" s="1165">
        <f t="shared" si="156"/>
        <v>0.99999970619462708</v>
      </c>
      <c r="DV75" s="1166">
        <f t="shared" si="157"/>
        <v>1</v>
      </c>
      <c r="DW75" s="1166">
        <f t="shared" si="158"/>
        <v>1</v>
      </c>
      <c r="DX75" s="1166"/>
      <c r="DY75" s="1166">
        <f t="shared" si="159"/>
        <v>0.98314203295490687</v>
      </c>
      <c r="DZ75" s="1166">
        <f t="shared" si="160"/>
        <v>0.95225366278493995</v>
      </c>
      <c r="EA75" s="1138"/>
      <c r="EB75" s="1166">
        <f t="shared" si="161"/>
        <v>0.76287358945519612</v>
      </c>
      <c r="EC75" s="1166"/>
      <c r="ED75" s="1138"/>
      <c r="EE75" s="1166">
        <f t="shared" si="162"/>
        <v>0.88224054242802386</v>
      </c>
      <c r="EF75" s="1140">
        <f t="shared" si="163"/>
        <v>0.94298002830642902</v>
      </c>
      <c r="EG75" s="1159">
        <f t="shared" si="164"/>
        <v>7.523489562124122</v>
      </c>
      <c r="EH75" s="1167">
        <f t="shared" si="165"/>
        <v>8</v>
      </c>
      <c r="EI75" s="1150">
        <f t="shared" si="166"/>
        <v>0.94043619526551525</v>
      </c>
      <c r="EJ75" s="1168">
        <f t="shared" si="167"/>
        <v>1.7628735894551961</v>
      </c>
      <c r="EK75" s="1169">
        <f t="shared" si="168"/>
        <v>2</v>
      </c>
      <c r="EL75" s="1170">
        <f t="shared" si="169"/>
        <v>0.88143679472759806</v>
      </c>
      <c r="EM75" s="1159">
        <f t="shared" si="170"/>
        <v>0.98314203295490687</v>
      </c>
      <c r="EN75" s="1167">
        <f t="shared" si="171"/>
        <v>1</v>
      </c>
      <c r="EO75" s="1171">
        <f t="shared" si="172"/>
        <v>0.98314203295490687</v>
      </c>
      <c r="EP75" s="1168">
        <f t="shared" si="173"/>
        <v>2.8822402486226508</v>
      </c>
      <c r="EQ75" s="1169">
        <f t="shared" si="174"/>
        <v>3</v>
      </c>
      <c r="ER75" s="1146">
        <f t="shared" si="175"/>
        <v>0.96074674954088357</v>
      </c>
      <c r="ES75" s="1159">
        <f t="shared" si="176"/>
        <v>1.895233691091369</v>
      </c>
      <c r="ET75" s="1167">
        <f t="shared" si="177"/>
        <v>2</v>
      </c>
      <c r="EU75" s="1155">
        <f t="shared" si="178"/>
        <v>0.94761684554568448</v>
      </c>
      <c r="EV75" s="1159">
        <f t="shared" si="179"/>
        <v>2.878375724046276</v>
      </c>
      <c r="EW75" s="1167">
        <f t="shared" si="180"/>
        <v>3</v>
      </c>
      <c r="EX75" s="1155">
        <f t="shared" si="181"/>
        <v>0.95945857468209195</v>
      </c>
    </row>
    <row r="76" spans="2:154">
      <c r="B76" s="1218" t="s">
        <v>1274</v>
      </c>
      <c r="C76" s="1219">
        <v>3</v>
      </c>
      <c r="D76" s="1226" t="s">
        <v>1267</v>
      </c>
      <c r="E76" s="1226" t="s">
        <v>1268</v>
      </c>
      <c r="F76" s="1227" t="s">
        <v>1266</v>
      </c>
      <c r="V76" s="1278">
        <v>58.7</v>
      </c>
      <c r="W76" s="1262">
        <v>3.8250000000000002</v>
      </c>
      <c r="X76" s="1283">
        <v>95.68</v>
      </c>
      <c r="Y76" s="1272">
        <v>2136.4580228514656</v>
      </c>
      <c r="Z76" s="1255" t="s">
        <v>1058</v>
      </c>
      <c r="AA76" s="1277">
        <v>5.2233999999999998</v>
      </c>
      <c r="AB76" s="1261">
        <v>12.6</v>
      </c>
      <c r="AC76" s="1282">
        <v>1.2316396092487176</v>
      </c>
      <c r="AD76" s="1271" t="s">
        <v>1058</v>
      </c>
      <c r="AE76" s="1271" t="s">
        <v>1058</v>
      </c>
      <c r="AF76" s="1254">
        <v>131.62564593301434</v>
      </c>
      <c r="AG76" s="1282">
        <v>171.25799999999998</v>
      </c>
      <c r="AH76" s="1267">
        <v>4</v>
      </c>
      <c r="AI76" s="1267">
        <v>4</v>
      </c>
      <c r="AJ76" s="1267">
        <v>4</v>
      </c>
      <c r="AK76" s="1267">
        <v>1</v>
      </c>
      <c r="AL76" s="1267">
        <v>2</v>
      </c>
      <c r="AM76" s="1267">
        <v>2</v>
      </c>
      <c r="AN76" s="1267">
        <v>3</v>
      </c>
      <c r="AO76" s="1267">
        <v>2</v>
      </c>
      <c r="AP76" s="1267">
        <v>109</v>
      </c>
      <c r="AQ76" s="1267"/>
      <c r="AR76" s="1267">
        <v>2</v>
      </c>
      <c r="AS76" s="1267">
        <v>5</v>
      </c>
      <c r="AT76" s="1267">
        <v>2</v>
      </c>
      <c r="AU76" s="1267"/>
      <c r="AV76" s="1133">
        <f t="shared" ref="AV76:AV91" si="182">IF(AH76=1,0.3,IF(AH76=2,1.55,IF(AH76=3,2.17,3.81)))</f>
        <v>3.81</v>
      </c>
      <c r="AW76" s="1134">
        <f t="shared" ref="AW76:AW91" si="183">IF(AJ76=1,1.6,IF(AJ76=2,1.25,IF(AJ76=3,1.1,IF(AJ76=4,1.05,1))))</f>
        <v>1.05</v>
      </c>
      <c r="AX76" s="1134">
        <f t="shared" ref="AX76:AX91" si="184">IF(AK76=1,0.15,IF(AK76=2,0.05,IF(AK76=3,-0.05,-0.1)))</f>
        <v>0.15</v>
      </c>
      <c r="AY76" s="1135">
        <f t="shared" ref="AY76:AY91" si="185">W76</f>
        <v>3.8250000000000002</v>
      </c>
      <c r="AZ76" s="1136">
        <f t="shared" ref="AZ76:AZ91" si="186">1/(1+50.1*EXP(-((AV76*AW76)+(AV76*AW76*AX76))*AY76))</f>
        <v>0.99999885851385484</v>
      </c>
      <c r="BA76" s="1137">
        <f t="shared" ref="BA76:BA91" si="187">IF(AH76=1,1.2211054,IF(AH76=2,1.0715387,IF(AH76=3,1.0199112,0.8999381)))</f>
        <v>0.89993809999999996</v>
      </c>
      <c r="BB76" s="956">
        <f t="shared" ref="BB76:BB91" si="188">IF(AJ76=1,0.87,IF(AJ76=2,1.06,IF(AJ76=3,1,IF(AJ76=4,1.16,1.25))))</f>
        <v>1.1599999999999999</v>
      </c>
      <c r="BC76" s="1138">
        <f t="shared" ref="BC76:BC91" si="189">IF(AL76=1,1.1,1)</f>
        <v>1</v>
      </c>
      <c r="BD76" s="1139">
        <f t="shared" ref="BD76:BD91" si="190">X76</f>
        <v>95.68</v>
      </c>
      <c r="BE76" s="1138">
        <f t="shared" ref="BE76:BE91" si="191">-0.793+(1.7993*COS((0.0196*BD76-(BA76*BB76*BC76))))</f>
        <v>0.4194441623771944</v>
      </c>
      <c r="BF76" s="1140">
        <f t="shared" ref="BF76:BF91" si="192">IF(BD76&gt;50,1,IF(BE76&gt;0,BE76,IF(BE76&lt;0,0)))</f>
        <v>1</v>
      </c>
      <c r="BG76" s="1137">
        <f t="shared" ref="BG76:BG91" si="193">IF(AH76=1,0.0062097,IF(AH76=2,0.012419,IF(AH76=3,0.02,0.03)))</f>
        <v>0.03</v>
      </c>
      <c r="BH76" s="956">
        <f t="shared" ref="BH76:BH91" si="194">IF(AJ76=1,1.5,IF(AJ76=2,1.35,IF(AJ76=3,1.2,IF(AJ76=4,1,0.9))))</f>
        <v>1</v>
      </c>
      <c r="BI76" s="956">
        <f t="shared" ref="BI76:BI91" si="195">IF(BJ76&gt;0,BJ76,IF(BK76&gt;0,BK76,BL76))</f>
        <v>1.08</v>
      </c>
      <c r="BJ76" s="956">
        <f t="shared" ref="BJ76:BJ91" si="196">IF(AM76=1,1,IF(AND(AM76=3,AK76=1),1.02,IF(AND(AM76=3,AK76=2),1.025,IF(AND(AM76=3,AK76=3),1.03,IF(AND(AM76=3,AK76=4),1.035,IF(OR(AM76=2,AM76=4),0,9000))))))</f>
        <v>0</v>
      </c>
      <c r="BK76" s="956">
        <f t="shared" ref="BK76:BK91" si="197">IF(AM76=1,0,IF(AM76=3,0,IF(AM76=4,0,IF(AND(AM76=2,AK76=1),1.08,IF(AND(AM76=2,AK76=2),1.07,IF(AND(AM76=2,AK76=3),1.06,IF(AND(AM76=2,AK76=4),1.05,1000)))))))</f>
        <v>1.08</v>
      </c>
      <c r="BL76" s="956">
        <f t="shared" ref="BL76:BL91" si="198">IF(OR(AM76=1,AM76=3),0,IF(AM76=2,0,IF(AND(AM76=4,AK76=1),1.12,IF(AND(AM76=4,AK76=2),1.1,IF(AND(AM76=4,AK76=3),1.08,IF(AND(AM76=4,AK76=4),1.06,700))))))</f>
        <v>0</v>
      </c>
      <c r="BM76" s="1141">
        <f t="shared" ref="BM76:BM91" si="199">Y76</f>
        <v>2136.4580228514656</v>
      </c>
      <c r="BN76" s="1142">
        <f t="shared" ref="BN76:BN91" si="200">1/(1+40.748*EXP(-(BG76*BH76*BI76)*BM76))</f>
        <v>1</v>
      </c>
      <c r="BO76" s="1143">
        <f t="shared" ref="BO76:BO91" si="201">IF(AH76=1,0.254995,IF(AH76=2,0.299255,IF(AH76=3,0.35467,0.432275)))</f>
        <v>0.43227500000000002</v>
      </c>
      <c r="BP76" s="1144">
        <f t="shared" ref="BP76:BP91" si="202">IF(AJ76=1,1.15,IF(OR(AJ76=2,AJ76=3),1,IF(AJ76=4,0.9,0.85)))</f>
        <v>0.9</v>
      </c>
      <c r="BQ76" s="1134">
        <f t="shared" ref="BQ76:BQ91" si="203">IF(AK76=1,0.9,IF(AK76=2,0.95,IF(AK76=3,1,1.05)))</f>
        <v>0.9</v>
      </c>
      <c r="BR76" s="1145" t="str">
        <f t="shared" ref="BR76:BR91" si="204">Z76</f>
        <v>.</v>
      </c>
      <c r="BS76" s="1146" t="e">
        <f t="shared" ref="BS76:BS91" si="205">1/(1+161.32*EXP(-((BO76*BP76)+(BO76*BP76*BQ76))*BR76))</f>
        <v>#VALUE!</v>
      </c>
      <c r="BT76" s="1147">
        <f>VLOOKUP(AP76,'CROP FACTORS'!$C$5:$N$130,7,FALSE)</f>
        <v>5.5</v>
      </c>
      <c r="BU76" s="1148">
        <f>VLOOKUP(AP76,'CROP FACTORS'!$C$5:$P$130,8,FALSE)</f>
        <v>1</v>
      </c>
      <c r="BV76" s="1149">
        <f t="shared" ref="BV76:BV91" si="206">AA76</f>
        <v>5.2233999999999998</v>
      </c>
      <c r="BW76" s="1150">
        <f t="shared" ref="BW76:BW91" si="207">1*EXP(-(POWER(BV76-BT76,2))/(2*POWER(BU76,2)))</f>
        <v>0.96246865459985875</v>
      </c>
      <c r="BX76" s="1137">
        <f>VLOOKUP(AP76,'CROP FACTORS'!$C$5:$N$130,10,FALSE)</f>
        <v>13</v>
      </c>
      <c r="BY76" s="1138">
        <f t="shared" ref="BY76:BY91" si="208">213.96744-39.579185*BX76+2.3020512*BX76*BX76</f>
        <v>88.484687800000074</v>
      </c>
      <c r="BZ76" s="956">
        <f t="shared" ref="BZ76:BZ91" si="209">IF(AH76=1,0.125,IF(AH76=2,0.025,IF(AH76=3,0.0175,0.01)))</f>
        <v>0.01</v>
      </c>
      <c r="CA76" s="956">
        <f t="shared" ref="CA76:CA91" si="210">IF(AJ76=1,0.98,IF(AJ76=2,0.99,IF(AJ76=3,1,IF(AJ76=4,1.01,1.03))))</f>
        <v>1.01</v>
      </c>
      <c r="CB76" s="1148">
        <f t="shared" ref="CB76:CB91" si="211">BY76+(BY76*AY76/100)*CA76</f>
        <v>91.90307250143357</v>
      </c>
      <c r="CC76" s="1148">
        <f t="shared" ref="CC76:CC91" si="212">(BY76+(BY76*BZ76))*CA76</f>
        <v>90.263230024780086</v>
      </c>
      <c r="CD76" s="956">
        <f t="shared" ref="CD76:CD91" si="213">IF(AR76=1,160,IF(AR76=2,140,IF(AR76=3,115,IF(AR76=4,85,60))))</f>
        <v>140</v>
      </c>
      <c r="CE76" s="956">
        <f t="shared" ref="CE76:CE91" si="214">IF(AR76=1,110000,IF(AR76=2,90000,IF(AR76=3,70000,IF(AR76=4,35000,20000))))</f>
        <v>90000</v>
      </c>
      <c r="CF76" s="956">
        <f t="shared" ref="CF76:CF91" si="215">IF(AJ76=1,0.9,IF(AJ76=2,1,IF(AJ76=3,1.1,IF(AJ76=4,1.4,1.6))))</f>
        <v>1.4</v>
      </c>
      <c r="CG76" s="956">
        <f t="shared" ref="CG76:CG91" si="216">IF(AH76=1,0.25,IF(AH76=2,0.05,IF(AH76=3,0.035,0.02)))</f>
        <v>0.02</v>
      </c>
      <c r="CH76" s="956">
        <f t="shared" ref="CH76:CH91" si="217">(CE76+CE76*AY76/100)*CF76</f>
        <v>130819.49999999999</v>
      </c>
      <c r="CI76" s="956">
        <f t="shared" ref="CI76:CI91" si="218">(CE76+CE76*CG76)*CF76</f>
        <v>128519.99999999999</v>
      </c>
      <c r="CJ76" s="1138">
        <f t="shared" ref="CJ76:CJ91" si="219">IF(AT76=1,CK76,IF(AT76=2,CL76,CM76))</f>
        <v>1.25</v>
      </c>
      <c r="CK76" s="1138">
        <f t="shared" ref="CK76:CK91" si="220">IF(AS76=1,2,IF(AS76=2,1,IF(AS76=3,1.8,IF(AS76=4,2.4,IF(AS76=5,2.1,2.3)))))</f>
        <v>2.1</v>
      </c>
      <c r="CL76" s="1138">
        <f t="shared" ref="CL76:CL91" si="221">IF(AS76=1,1.4,IF(AS76=2,1,IF(AS76=3,0.66,IF(AS76=4,1.8,IF(AS76=5,1.25,3.66)))))</f>
        <v>1.25</v>
      </c>
      <c r="CM76" s="1138">
        <f t="shared" ref="CM76:CM91" si="222">IF(AS76=1,1.35,IF(AS76=2,1,IF(AS76=3,1,IF(AS76=4,1.7,IF(AS76=5,1.25,1.5)))))</f>
        <v>1.25</v>
      </c>
      <c r="CN76" s="1151">
        <f t="shared" ref="CN76:CN91" si="223">AB76</f>
        <v>12.6</v>
      </c>
      <c r="CO76" s="1138">
        <f t="shared" ref="CO76:CO91" si="224">IF(CN76*CJ76&lt;=(BX76+6),(0.00000925*CB76+1*POWER(CN76*CJ76,3.06))/(CB76+POWER(CN76*CJ76,3.06)),IF(CN76*CJ76&gt;CD76,1-4.5*EXP(-CH76*POWER(CN76*CJ76,-2)),1))</f>
        <v>0.98045326068905914</v>
      </c>
      <c r="CP76" s="1138">
        <f t="shared" ref="CP76:CP91" si="225">IF(CN76*CJ76&lt;=(BX76+6),(0.00000925*CC76+1*POWER(CN76*CJ76,3.06))/(CC76+POWER(CN76*CJ76,3.06)),IF(CN76*CJ76&gt;CD76,1-4.5*EXP(-CI76*POWER(CN76*CJ76,-2)),1))</f>
        <v>0.98079533836743282</v>
      </c>
      <c r="CQ76" s="1152">
        <f t="shared" ref="CQ76:CQ91" si="226">IF(CO76&gt;=0,CO76,0)</f>
        <v>0.98045326068905914</v>
      </c>
      <c r="CR76" s="1153">
        <f t="shared" ref="CR76:CR91" si="227">IF(CP76&gt;=0,CP76,0)</f>
        <v>0.98079533836743282</v>
      </c>
      <c r="CS76" s="1137">
        <f t="shared" ref="CS76:CS91" si="228">IF(AJ76=1,0.792,IF(AJ76=2,0.794,IF(AJ76=3,0.796,IF(AJ76=4,0.796,0.799))))</f>
        <v>0.79600000000000004</v>
      </c>
      <c r="CT76" s="956">
        <f t="shared" ref="CT76:CT91" si="229">IF(AJ76=1,321.34,IF(AJ76=2,88.025,IF(AJ76=3,32.189,IF(AJ76=4,16.945,7.47))))</f>
        <v>16.945</v>
      </c>
      <c r="CU76" s="956">
        <f t="shared" ref="CU76:CU91" si="230">IF(AJ76=1,-12.99,IF(AJ76=2,-12.061,IF(AJ76=3,-11.297,IF(AJ76=4,-10.79,-10.1))))</f>
        <v>-10.79</v>
      </c>
      <c r="CV76" s="956">
        <f t="shared" ref="CV76:CV91" si="231">IF(AN76=1,0.0005,IF(AN76=2,0.001,0))</f>
        <v>0</v>
      </c>
      <c r="CW76" s="956">
        <f t="shared" ref="CW76:CW91" si="232">IF(AN76=1,5.23253292,IF(AN76=2,2.31849414,9.3587152))</f>
        <v>9.3587152000000007</v>
      </c>
      <c r="CX76" s="956">
        <f t="shared" ref="CX76:CX91" si="233">IF(AN76=1,-9.850864,IF(AN76=2,-9.25634,-10.275524))</f>
        <v>-10.275524000000001</v>
      </c>
      <c r="CY76" s="1154">
        <f t="shared" ref="CY76:CY91" si="234">AC76</f>
        <v>1.2316396092487176</v>
      </c>
      <c r="CZ76" s="1155">
        <f t="shared" ref="CZ76:CZ91" si="235">IF(AJ76&gt;=4,0.994-(CS76+CV76)*EXP(-CW76*POWER(CY76,CX76)),0.994-CS76*EXP(-CT76*POWER(CY76,CU76)))</f>
        <v>0.72907264052237464</v>
      </c>
      <c r="DA76" s="1137" t="e">
        <f>MIN(VLOOKUP(AP76,'CROP FACTORS'!$C$5:$N$130,2,FALSE),VLOOKUP(AQ76,'CROP FACTORS'!$C$5:$N$130,2,FALSE))</f>
        <v>#N/A</v>
      </c>
      <c r="DB76" s="956" t="e">
        <f>MIN(VLOOKUP(AP76,'CROP FACTORS'!$C$5:$N$130,4,FALSE),VLOOKUP(AQ76,'CROP FACTORS'!$C$5:$N$130,4,FALSE))</f>
        <v>#N/A</v>
      </c>
      <c r="DC76" s="1156" t="e">
        <f t="shared" ref="DC76:DC91" si="236">(0.5091-161.58*DB76)/(1+484.2*DB76-16.14*POWER(DB76,2))</f>
        <v>#N/A</v>
      </c>
      <c r="DD76" s="1138">
        <f t="shared" ref="DD76:DD91" si="237">IF(AJ76=5,1.25,IF(AJ76=4,1.22,IF(AJ76=3,1.18,IF(AJ76=2, 1.07,1))))</f>
        <v>1.22</v>
      </c>
      <c r="DE76" s="1157" t="str">
        <f t="shared" ref="DE76:DE91" si="238">AD76</f>
        <v>.</v>
      </c>
      <c r="DF76" s="1138" t="e">
        <f t="shared" ref="DF76:DF91" si="239">IF(AND(AU76=1,DE76&lt;0.3),3.33*DE76,IF(AND(AU76=1,DE76&gt;DA76),DC76*DE76+(1-DC76*DA76),IF(AND(AU76=2,DE76&lt;0.0017),5.88*DE76,IF(AND(AU76=2,DE76&gt;(DA76/1.77)*DD76),DC76*DE76+(1-DC76*(DA76/1.77)*DD76),1))))</f>
        <v>#N/A</v>
      </c>
      <c r="DG76" s="1158" t="e">
        <f t="shared" ref="DG76:DG91" si="240">IF(DF76&lt;0,0,IF(DF76&gt;1,1,DF76))</f>
        <v>#N/A</v>
      </c>
      <c r="DH76" s="1159" t="str">
        <f t="shared" ref="DH76:DH91" si="241">AE76</f>
        <v>.</v>
      </c>
      <c r="DI76" s="1153" t="e">
        <f t="shared" ref="DI76:DI91" si="242">IF(DE76&lt;0.2,1/(4.056+0.793*POWER(DH76,3.05)),IF(AND(DE76&gt;=0.2,DE76&lt;0.55),0.8+0.01298857*DH76-0.067*DH76*DH76+0.0257*POWER(DH76,3)-0.00536*POWER(DH76,4)+0.000547*POWER(DH76,5)-0.0000211*POWER(DH76,6),1-0.0702*DH76+0.0105*POWER(DH76,2)-0.00068*POWER(DH76,3)-0.0000239*POWER(DH76,4)))</f>
        <v>#VALUE!</v>
      </c>
      <c r="DJ76" s="1133">
        <f t="shared" ref="DJ76:DJ91" si="243">IF(AH76=1,0.9,IF(AH76=2,2.9,IF(AH76=3,3.8,5.8)))</f>
        <v>5.8</v>
      </c>
      <c r="DK76" s="1160">
        <f t="shared" ref="DK76:DK91" si="244">IF(AJ76=1,4,IF(AJ76=2,2.9,IF(AJ76=3,2.8,IF(AJ76=4,2.7,1.3))))</f>
        <v>2.7</v>
      </c>
      <c r="DL76" s="1134">
        <f t="shared" ref="DL76:DL91" si="245">IF(AK76=1,2.1,IF(AK76=2,0.85,IF(AK76=3,0.7,0.45)))</f>
        <v>2.1</v>
      </c>
      <c r="DM76" s="1161">
        <f t="shared" ref="DM76:DM91" si="246">AF76</f>
        <v>131.62564593301434</v>
      </c>
      <c r="DN76" s="1144">
        <f t="shared" ref="DN76:DN91" si="247">(DJ76*DK76)+(DJ76*DK76*DL76)</f>
        <v>48.546000000000006</v>
      </c>
      <c r="DO76" s="1162">
        <f t="shared" ref="DO76:DO91" si="248">1.01/(1+48.4*EXP(-DN76*(DM76/1000)))</f>
        <v>0.934116282464445</v>
      </c>
      <c r="DP76" s="1163">
        <f t="shared" ref="DP76:DP91" si="249">IF(DO76&gt;1,1,DO76)</f>
        <v>0.934116282464445</v>
      </c>
      <c r="DQ76" s="1133">
        <f t="shared" ref="DQ76:DQ91" si="250">IF(AJ76=1,1.0541,IF(AJ76=2,1.0541,IF(AJ76=3,1.0745,IF(AJ76=4,1.0745,IF(AJ76=5,1.0745)))))</f>
        <v>1.0745</v>
      </c>
      <c r="DR76" s="1134">
        <f t="shared" ref="DR76:DR91" si="251">IF(AJ76=1,-0.00981,IF(AJ76=2,-0.00981,IF(AJ76=3,-0.01343,IF(AJ76=4,-0.01343,IF(AJ76=5,-0.01343)))))</f>
        <v>-1.3429999999999999E-2</v>
      </c>
      <c r="DS76" s="1164">
        <f t="shared" ref="DS76:DS91" si="252">AG76</f>
        <v>171.25799999999998</v>
      </c>
      <c r="DT76" s="1146">
        <f t="shared" ref="DT76:DT91" si="253">IF(DQ76*(1-EXP(DR76*DS76))&lt;1, (DQ76*(1-EXP(DR76*DS76))), 1)</f>
        <v>0.96677132731414261</v>
      </c>
      <c r="DU76" s="1165">
        <f t="shared" ref="DU76:DU91" si="254">AZ76</f>
        <v>0.99999885851385484</v>
      </c>
      <c r="DV76" s="1166">
        <f t="shared" ref="DV76:DV91" si="255">BF76</f>
        <v>1</v>
      </c>
      <c r="DW76" s="1166">
        <f t="shared" ref="DW76:DW91" si="256">BN76</f>
        <v>1</v>
      </c>
      <c r="DX76" s="1166"/>
      <c r="DY76" s="1166">
        <f t="shared" ref="DY76:DY91" si="257">BW76</f>
        <v>0.96246865459985875</v>
      </c>
      <c r="DZ76" s="1166">
        <f t="shared" ref="DZ76:DZ91" si="258">CQ76</f>
        <v>0.98045326068905914</v>
      </c>
      <c r="EA76" s="1138"/>
      <c r="EB76" s="1166">
        <f t="shared" ref="EB76:EB91" si="259">CZ76</f>
        <v>0.72907264052237464</v>
      </c>
      <c r="EC76" s="1166"/>
      <c r="ED76" s="1138"/>
      <c r="EE76" s="1166">
        <f t="shared" ref="EE76:EE91" si="260">DP76</f>
        <v>0.934116282464445</v>
      </c>
      <c r="EF76" s="1140">
        <f t="shared" ref="EF76:EF91" si="261">DT76</f>
        <v>0.96677132731414261</v>
      </c>
      <c r="EG76" s="1159">
        <f t="shared" ref="EG76:EG91" si="262">SUM(DU76:DZ76,EB76:EC76,EE76:EF76)</f>
        <v>7.5728810241037348</v>
      </c>
      <c r="EH76" s="1167">
        <f t="shared" ref="EH76:EH91" si="263">SUM(COUNTIF(DU76:DZ76, "&gt;=0"),COUNTIF(EB76:EC76,"&gt;=0"),COUNTIF(EE76:EF76,"&gt;=0"))</f>
        <v>8</v>
      </c>
      <c r="EI76" s="1150">
        <f t="shared" ref="EI76:EI91" si="264">EG76/EH76</f>
        <v>0.94661012801296684</v>
      </c>
      <c r="EJ76" s="1168">
        <f t="shared" ref="EJ76:EJ91" si="265">SUM(EB76,DV76)</f>
        <v>1.7290726405223746</v>
      </c>
      <c r="EK76" s="1169">
        <f t="shared" ref="EK76:EK91" si="266">SUM(COUNTIF(DV76,"&gt;0"),COUNTIF(EB76,"&gt;0"))</f>
        <v>2</v>
      </c>
      <c r="EL76" s="1170">
        <f t="shared" ref="EL76:EL91" si="267">EJ76/EK76</f>
        <v>0.86453632026118732</v>
      </c>
      <c r="EM76" s="1159">
        <f t="shared" ref="EM76:EM91" si="268">SUM(DY76,EC76)</f>
        <v>0.96246865459985875</v>
      </c>
      <c r="EN76" s="1167">
        <f t="shared" ref="EN76:EN91" si="269">SUM(COUNTIF(DY76,"&gt;0"),COUNTIF(EC76,"&gt;0"))</f>
        <v>1</v>
      </c>
      <c r="EO76" s="1171">
        <f t="shared" ref="EO76:EO91" si="270">EM76/EN76</f>
        <v>0.96246865459985875</v>
      </c>
      <c r="EP76" s="1168">
        <f t="shared" ref="EP76:EP91" si="271">SUM(DU76,DW76,DX76,EE76)</f>
        <v>2.9341151409783</v>
      </c>
      <c r="EQ76" s="1169">
        <f t="shared" ref="EQ76:EQ91" si="272">SUM(COUNTIF(DU76, "&gt;0"),COUNTIF(DW76:DX76,"&gt;0"),COUNTIF(EE76,"&gt;0"))</f>
        <v>3</v>
      </c>
      <c r="ER76" s="1146">
        <f t="shared" ref="ER76:ER91" si="273">EP76/EQ76</f>
        <v>0.97803838032610002</v>
      </c>
      <c r="ES76" s="1159">
        <f t="shared" ref="ES76:ES91" si="274">SUM(EF76,DZ76)</f>
        <v>1.9472245880032018</v>
      </c>
      <c r="ET76" s="1167">
        <f t="shared" ref="ET76:ET91" si="275">SUM(COUNTIF(DZ76,"&gt;0"),COUNTIF(EF76,"&gt;0"))</f>
        <v>2</v>
      </c>
      <c r="EU76" s="1155">
        <f t="shared" ref="EU76:EU91" si="276">ES76/ET76</f>
        <v>0.97361229400160088</v>
      </c>
      <c r="EV76" s="1159">
        <f t="shared" ref="EV76:EV91" si="277">SUM(EM76,ES76)</f>
        <v>2.9096932426030606</v>
      </c>
      <c r="EW76" s="1167">
        <f t="shared" ref="EW76:EW91" si="278">SUM(EN76,ET76)</f>
        <v>3</v>
      </c>
      <c r="EX76" s="1155">
        <f t="shared" ref="EX76:EX91" si="279">EV76/EW76</f>
        <v>0.96989774753435354</v>
      </c>
    </row>
    <row r="77" spans="2:154">
      <c r="B77" s="1218" t="s">
        <v>1274</v>
      </c>
      <c r="C77" s="1219">
        <v>4</v>
      </c>
      <c r="D77" s="1226" t="s">
        <v>1267</v>
      </c>
      <c r="E77" s="1226" t="s">
        <v>1268</v>
      </c>
      <c r="F77" s="1227" t="s">
        <v>1266</v>
      </c>
      <c r="V77" s="1278">
        <v>58.8</v>
      </c>
      <c r="W77" s="1262">
        <v>4.1150000000000002</v>
      </c>
      <c r="X77" s="1283">
        <v>96.859999999999985</v>
      </c>
      <c r="Y77" s="1272">
        <v>2759.067750677506</v>
      </c>
      <c r="Z77" s="1255" t="s">
        <v>1058</v>
      </c>
      <c r="AA77" s="1277">
        <v>5.3155999999999999</v>
      </c>
      <c r="AB77" s="1261">
        <v>12.17</v>
      </c>
      <c r="AC77" s="1282">
        <v>1.3500597371565113</v>
      </c>
      <c r="AD77" s="1271" t="s">
        <v>1058</v>
      </c>
      <c r="AE77" s="1271" t="s">
        <v>1058</v>
      </c>
      <c r="AF77" s="1254">
        <v>125.87836632218146</v>
      </c>
      <c r="AG77" s="1282">
        <v>144.67000000000002</v>
      </c>
      <c r="AH77" s="1267">
        <v>4</v>
      </c>
      <c r="AI77" s="1267">
        <v>4</v>
      </c>
      <c r="AJ77" s="1267">
        <v>4</v>
      </c>
      <c r="AK77" s="1267">
        <v>1</v>
      </c>
      <c r="AL77" s="1267">
        <v>2</v>
      </c>
      <c r="AM77" s="1267">
        <v>2</v>
      </c>
      <c r="AN77" s="1267">
        <v>3</v>
      </c>
      <c r="AO77" s="1267">
        <v>2</v>
      </c>
      <c r="AP77" s="1267">
        <v>109</v>
      </c>
      <c r="AQ77" s="1267"/>
      <c r="AR77" s="1267">
        <v>2</v>
      </c>
      <c r="AS77" s="1267">
        <v>5</v>
      </c>
      <c r="AT77" s="1267">
        <v>2</v>
      </c>
      <c r="AU77" s="1267"/>
      <c r="AV77" s="1133">
        <f t="shared" si="182"/>
        <v>3.81</v>
      </c>
      <c r="AW77" s="1134">
        <f t="shared" si="183"/>
        <v>1.05</v>
      </c>
      <c r="AX77" s="1134">
        <f t="shared" si="184"/>
        <v>0.15</v>
      </c>
      <c r="AY77" s="1135">
        <f t="shared" si="185"/>
        <v>4.1150000000000002</v>
      </c>
      <c r="AZ77" s="1136">
        <f t="shared" si="186"/>
        <v>0.99999969935793054</v>
      </c>
      <c r="BA77" s="1137">
        <f t="shared" si="187"/>
        <v>0.89993809999999996</v>
      </c>
      <c r="BB77" s="956">
        <f t="shared" si="188"/>
        <v>1.1599999999999999</v>
      </c>
      <c r="BC77" s="1138">
        <f t="shared" si="189"/>
        <v>1</v>
      </c>
      <c r="BD77" s="1139">
        <f t="shared" si="190"/>
        <v>96.859999999999985</v>
      </c>
      <c r="BE77" s="1138">
        <f t="shared" si="191"/>
        <v>0.38837493316483751</v>
      </c>
      <c r="BF77" s="1140">
        <f t="shared" si="192"/>
        <v>1</v>
      </c>
      <c r="BG77" s="1137">
        <f t="shared" si="193"/>
        <v>0.03</v>
      </c>
      <c r="BH77" s="956">
        <f t="shared" si="194"/>
        <v>1</v>
      </c>
      <c r="BI77" s="956">
        <f t="shared" si="195"/>
        <v>1.08</v>
      </c>
      <c r="BJ77" s="956">
        <f t="shared" si="196"/>
        <v>0</v>
      </c>
      <c r="BK77" s="956">
        <f t="shared" si="197"/>
        <v>1.08</v>
      </c>
      <c r="BL77" s="956">
        <f t="shared" si="198"/>
        <v>0</v>
      </c>
      <c r="BM77" s="1141">
        <f t="shared" si="199"/>
        <v>2759.067750677506</v>
      </c>
      <c r="BN77" s="1142">
        <f t="shared" si="200"/>
        <v>1</v>
      </c>
      <c r="BO77" s="1143">
        <f t="shared" si="201"/>
        <v>0.43227500000000002</v>
      </c>
      <c r="BP77" s="1144">
        <f t="shared" si="202"/>
        <v>0.9</v>
      </c>
      <c r="BQ77" s="1134">
        <f t="shared" si="203"/>
        <v>0.9</v>
      </c>
      <c r="BR77" s="1145" t="str">
        <f t="shared" si="204"/>
        <v>.</v>
      </c>
      <c r="BS77" s="1146" t="e">
        <f t="shared" si="205"/>
        <v>#VALUE!</v>
      </c>
      <c r="BT77" s="1147">
        <f>VLOOKUP(AP77,'CROP FACTORS'!$C$5:$N$130,7,FALSE)</f>
        <v>5.5</v>
      </c>
      <c r="BU77" s="1148">
        <f>VLOOKUP(AP77,'CROP FACTORS'!$C$5:$P$130,8,FALSE)</f>
        <v>1</v>
      </c>
      <c r="BV77" s="1149">
        <f t="shared" si="206"/>
        <v>5.3155999999999999</v>
      </c>
      <c r="BW77" s="1150">
        <f t="shared" si="207"/>
        <v>0.98314203295490687</v>
      </c>
      <c r="BX77" s="1137">
        <f>VLOOKUP(AP77,'CROP FACTORS'!$C$5:$N$130,10,FALSE)</f>
        <v>13</v>
      </c>
      <c r="BY77" s="1138">
        <f t="shared" si="208"/>
        <v>88.484687800000074</v>
      </c>
      <c r="BZ77" s="956">
        <f t="shared" si="209"/>
        <v>0.01</v>
      </c>
      <c r="CA77" s="956">
        <f t="shared" si="210"/>
        <v>1.01</v>
      </c>
      <c r="CB77" s="1148">
        <f t="shared" si="211"/>
        <v>92.162244151999772</v>
      </c>
      <c r="CC77" s="1148">
        <f t="shared" si="212"/>
        <v>90.263230024780086</v>
      </c>
      <c r="CD77" s="956">
        <f t="shared" si="213"/>
        <v>140</v>
      </c>
      <c r="CE77" s="956">
        <f t="shared" si="214"/>
        <v>90000</v>
      </c>
      <c r="CF77" s="956">
        <f t="shared" si="215"/>
        <v>1.4</v>
      </c>
      <c r="CG77" s="956">
        <f t="shared" si="216"/>
        <v>0.02</v>
      </c>
      <c r="CH77" s="956">
        <f t="shared" si="217"/>
        <v>131184.9</v>
      </c>
      <c r="CI77" s="956">
        <f t="shared" si="218"/>
        <v>128519.99999999999</v>
      </c>
      <c r="CJ77" s="1138">
        <f t="shared" si="219"/>
        <v>1.25</v>
      </c>
      <c r="CK77" s="1138">
        <f t="shared" si="220"/>
        <v>2.1</v>
      </c>
      <c r="CL77" s="1138">
        <f t="shared" si="221"/>
        <v>1.25</v>
      </c>
      <c r="CM77" s="1138">
        <f t="shared" si="222"/>
        <v>1.25</v>
      </c>
      <c r="CN77" s="1151">
        <f t="shared" si="223"/>
        <v>12.17</v>
      </c>
      <c r="CO77" s="1138">
        <f t="shared" si="224"/>
        <v>0.97824971972422659</v>
      </c>
      <c r="CP77" s="1138">
        <f t="shared" si="225"/>
        <v>0.97868833558964552</v>
      </c>
      <c r="CQ77" s="1152">
        <f t="shared" si="226"/>
        <v>0.97824971972422659</v>
      </c>
      <c r="CR77" s="1153">
        <f t="shared" si="227"/>
        <v>0.97868833558964552</v>
      </c>
      <c r="CS77" s="1137">
        <f t="shared" si="228"/>
        <v>0.79600000000000004</v>
      </c>
      <c r="CT77" s="956">
        <f t="shared" si="229"/>
        <v>16.945</v>
      </c>
      <c r="CU77" s="956">
        <f t="shared" si="230"/>
        <v>-10.79</v>
      </c>
      <c r="CV77" s="956">
        <f t="shared" si="231"/>
        <v>0</v>
      </c>
      <c r="CW77" s="956">
        <f t="shared" si="232"/>
        <v>9.3587152000000007</v>
      </c>
      <c r="CX77" s="956">
        <f t="shared" si="233"/>
        <v>-10.275524000000001</v>
      </c>
      <c r="CY77" s="1154">
        <f t="shared" si="234"/>
        <v>1.3500597371565113</v>
      </c>
      <c r="CZ77" s="1155">
        <f t="shared" si="235"/>
        <v>0.47532547046368689</v>
      </c>
      <c r="DA77" s="1137" t="e">
        <f>MIN(VLOOKUP(AP77,'CROP FACTORS'!$C$5:$N$130,2,FALSE),VLOOKUP(AQ77,'CROP FACTORS'!$C$5:$N$130,2,FALSE))</f>
        <v>#N/A</v>
      </c>
      <c r="DB77" s="956" t="e">
        <f>MIN(VLOOKUP(AP77,'CROP FACTORS'!$C$5:$N$130,4,FALSE),VLOOKUP(AQ77,'CROP FACTORS'!$C$5:$N$130,4,FALSE))</f>
        <v>#N/A</v>
      </c>
      <c r="DC77" s="1156" t="e">
        <f t="shared" si="236"/>
        <v>#N/A</v>
      </c>
      <c r="DD77" s="1138">
        <f t="shared" si="237"/>
        <v>1.22</v>
      </c>
      <c r="DE77" s="1157" t="str">
        <f t="shared" si="238"/>
        <v>.</v>
      </c>
      <c r="DF77" s="1138" t="e">
        <f t="shared" si="239"/>
        <v>#N/A</v>
      </c>
      <c r="DG77" s="1158" t="e">
        <f t="shared" si="240"/>
        <v>#N/A</v>
      </c>
      <c r="DH77" s="1159" t="str">
        <f t="shared" si="241"/>
        <v>.</v>
      </c>
      <c r="DI77" s="1153" t="e">
        <f t="shared" si="242"/>
        <v>#VALUE!</v>
      </c>
      <c r="DJ77" s="1133">
        <f t="shared" si="243"/>
        <v>5.8</v>
      </c>
      <c r="DK77" s="1160">
        <f t="shared" si="244"/>
        <v>2.7</v>
      </c>
      <c r="DL77" s="1134">
        <f t="shared" si="245"/>
        <v>2.1</v>
      </c>
      <c r="DM77" s="1161">
        <f t="shared" si="246"/>
        <v>125.87836632218146</v>
      </c>
      <c r="DN77" s="1144">
        <f t="shared" si="247"/>
        <v>48.546000000000006</v>
      </c>
      <c r="DO77" s="1162">
        <f t="shared" si="248"/>
        <v>0.91206359307245721</v>
      </c>
      <c r="DP77" s="1163">
        <f t="shared" si="249"/>
        <v>0.91206359307245721</v>
      </c>
      <c r="DQ77" s="1133">
        <f t="shared" si="250"/>
        <v>1.0745</v>
      </c>
      <c r="DR77" s="1134">
        <f t="shared" si="251"/>
        <v>-1.3429999999999999E-2</v>
      </c>
      <c r="DS77" s="1164">
        <f t="shared" si="252"/>
        <v>144.67000000000002</v>
      </c>
      <c r="DT77" s="1146">
        <f t="shared" si="253"/>
        <v>0.92054003269078222</v>
      </c>
      <c r="DU77" s="1165">
        <f t="shared" si="254"/>
        <v>0.99999969935793054</v>
      </c>
      <c r="DV77" s="1166">
        <f t="shared" si="255"/>
        <v>1</v>
      </c>
      <c r="DW77" s="1166">
        <f t="shared" si="256"/>
        <v>1</v>
      </c>
      <c r="DX77" s="1166"/>
      <c r="DY77" s="1166">
        <f t="shared" si="257"/>
        <v>0.98314203295490687</v>
      </c>
      <c r="DZ77" s="1166">
        <f t="shared" si="258"/>
        <v>0.97824971972422659</v>
      </c>
      <c r="EA77" s="1138"/>
      <c r="EB77" s="1166">
        <f t="shared" si="259"/>
        <v>0.47532547046368689</v>
      </c>
      <c r="EC77" s="1166"/>
      <c r="ED77" s="1138"/>
      <c r="EE77" s="1166">
        <f t="shared" si="260"/>
        <v>0.91206359307245721</v>
      </c>
      <c r="EF77" s="1140">
        <f t="shared" si="261"/>
        <v>0.92054003269078222</v>
      </c>
      <c r="EG77" s="1159">
        <f t="shared" si="262"/>
        <v>7.2693205482639893</v>
      </c>
      <c r="EH77" s="1167">
        <f t="shared" si="263"/>
        <v>8</v>
      </c>
      <c r="EI77" s="1150">
        <f t="shared" si="264"/>
        <v>0.90866506853299867</v>
      </c>
      <c r="EJ77" s="1168">
        <f t="shared" si="265"/>
        <v>1.4753254704636869</v>
      </c>
      <c r="EK77" s="1169">
        <f t="shared" si="266"/>
        <v>2</v>
      </c>
      <c r="EL77" s="1170">
        <f t="shared" si="267"/>
        <v>0.73766273523184345</v>
      </c>
      <c r="EM77" s="1159">
        <f t="shared" si="268"/>
        <v>0.98314203295490687</v>
      </c>
      <c r="EN77" s="1167">
        <f t="shared" si="269"/>
        <v>1</v>
      </c>
      <c r="EO77" s="1171">
        <f t="shared" si="270"/>
        <v>0.98314203295490687</v>
      </c>
      <c r="EP77" s="1168">
        <f t="shared" si="271"/>
        <v>2.9120632924303878</v>
      </c>
      <c r="EQ77" s="1169">
        <f t="shared" si="272"/>
        <v>3</v>
      </c>
      <c r="ER77" s="1146">
        <f t="shared" si="273"/>
        <v>0.97068776414346258</v>
      </c>
      <c r="ES77" s="1159">
        <f t="shared" si="274"/>
        <v>1.8987897524150088</v>
      </c>
      <c r="ET77" s="1167">
        <f t="shared" si="275"/>
        <v>2</v>
      </c>
      <c r="EU77" s="1155">
        <f t="shared" si="276"/>
        <v>0.9493948762075044</v>
      </c>
      <c r="EV77" s="1159">
        <f t="shared" si="277"/>
        <v>2.8819317853699156</v>
      </c>
      <c r="EW77" s="1167">
        <f t="shared" si="278"/>
        <v>3</v>
      </c>
      <c r="EX77" s="1155">
        <f t="shared" si="279"/>
        <v>0.96064392845663849</v>
      </c>
    </row>
    <row r="78" spans="2:154">
      <c r="B78" s="1218" t="s">
        <v>1274</v>
      </c>
      <c r="C78" s="1219">
        <v>5</v>
      </c>
      <c r="D78" s="1226" t="s">
        <v>1267</v>
      </c>
      <c r="E78" s="1226" t="s">
        <v>1268</v>
      </c>
      <c r="F78" s="1227" t="s">
        <v>1266</v>
      </c>
      <c r="V78" s="1278">
        <v>59.9</v>
      </c>
      <c r="W78" s="1262">
        <v>3.08</v>
      </c>
      <c r="X78" s="1283">
        <v>97.320000000000007</v>
      </c>
      <c r="Y78" s="1272">
        <v>2087.3679973163366</v>
      </c>
      <c r="Z78" s="1255" t="s">
        <v>1058</v>
      </c>
      <c r="AA78" s="1277">
        <v>5.2233999999999998</v>
      </c>
      <c r="AB78" s="1261">
        <v>5.6</v>
      </c>
      <c r="AC78" s="1282">
        <v>1.2953592428608243</v>
      </c>
      <c r="AD78" s="1271" t="s">
        <v>1058</v>
      </c>
      <c r="AE78" s="1271" t="s">
        <v>1058</v>
      </c>
      <c r="AF78" s="1254">
        <v>87.6074136536906</v>
      </c>
      <c r="AG78" s="1282">
        <v>195.10900000000001</v>
      </c>
      <c r="AH78" s="1267">
        <v>4</v>
      </c>
      <c r="AI78" s="1267">
        <v>4</v>
      </c>
      <c r="AJ78" s="1267">
        <v>4</v>
      </c>
      <c r="AK78" s="1267">
        <v>1</v>
      </c>
      <c r="AL78" s="1267">
        <v>2</v>
      </c>
      <c r="AM78" s="1267">
        <v>2</v>
      </c>
      <c r="AN78" s="1267">
        <v>3</v>
      </c>
      <c r="AO78" s="1267">
        <v>2</v>
      </c>
      <c r="AP78" s="1267">
        <v>109</v>
      </c>
      <c r="AQ78" s="1267"/>
      <c r="AR78" s="1267">
        <v>2</v>
      </c>
      <c r="AS78" s="1267">
        <v>5</v>
      </c>
      <c r="AT78" s="1267">
        <v>2</v>
      </c>
      <c r="AU78" s="1267"/>
      <c r="AV78" s="1133">
        <f t="shared" si="182"/>
        <v>3.81</v>
      </c>
      <c r="AW78" s="1134">
        <f t="shared" si="183"/>
        <v>1.05</v>
      </c>
      <c r="AX78" s="1134">
        <f t="shared" si="184"/>
        <v>0.15</v>
      </c>
      <c r="AY78" s="1135">
        <f t="shared" si="185"/>
        <v>3.08</v>
      </c>
      <c r="AZ78" s="1136">
        <f t="shared" si="186"/>
        <v>0.99996484645692507</v>
      </c>
      <c r="BA78" s="1137">
        <f t="shared" si="187"/>
        <v>0.89993809999999996</v>
      </c>
      <c r="BB78" s="956">
        <f t="shared" si="188"/>
        <v>1.1599999999999999</v>
      </c>
      <c r="BC78" s="1138">
        <f t="shared" si="189"/>
        <v>1</v>
      </c>
      <c r="BD78" s="1139">
        <f t="shared" si="190"/>
        <v>97.320000000000007</v>
      </c>
      <c r="BE78" s="1138">
        <f t="shared" si="191"/>
        <v>0.37609109319914025</v>
      </c>
      <c r="BF78" s="1140">
        <f t="shared" si="192"/>
        <v>1</v>
      </c>
      <c r="BG78" s="1137">
        <f t="shared" si="193"/>
        <v>0.03</v>
      </c>
      <c r="BH78" s="956">
        <f t="shared" si="194"/>
        <v>1</v>
      </c>
      <c r="BI78" s="956">
        <f t="shared" si="195"/>
        <v>1.08</v>
      </c>
      <c r="BJ78" s="956">
        <f t="shared" si="196"/>
        <v>0</v>
      </c>
      <c r="BK78" s="956">
        <f t="shared" si="197"/>
        <v>1.08</v>
      </c>
      <c r="BL78" s="956">
        <f t="shared" si="198"/>
        <v>0</v>
      </c>
      <c r="BM78" s="1141">
        <f t="shared" si="199"/>
        <v>2087.3679973163366</v>
      </c>
      <c r="BN78" s="1142">
        <f t="shared" si="200"/>
        <v>1</v>
      </c>
      <c r="BO78" s="1143">
        <f t="shared" si="201"/>
        <v>0.43227500000000002</v>
      </c>
      <c r="BP78" s="1144">
        <f t="shared" si="202"/>
        <v>0.9</v>
      </c>
      <c r="BQ78" s="1134">
        <f t="shared" si="203"/>
        <v>0.9</v>
      </c>
      <c r="BR78" s="1145" t="str">
        <f t="shared" si="204"/>
        <v>.</v>
      </c>
      <c r="BS78" s="1146" t="e">
        <f t="shared" si="205"/>
        <v>#VALUE!</v>
      </c>
      <c r="BT78" s="1147">
        <f>VLOOKUP(AP78,'CROP FACTORS'!$C$5:$N$130,7,FALSE)</f>
        <v>5.5</v>
      </c>
      <c r="BU78" s="1148">
        <f>VLOOKUP(AP78,'CROP FACTORS'!$C$5:$P$130,8,FALSE)</f>
        <v>1</v>
      </c>
      <c r="BV78" s="1149">
        <f t="shared" si="206"/>
        <v>5.2233999999999998</v>
      </c>
      <c r="BW78" s="1150">
        <f t="shared" si="207"/>
        <v>0.96246865459985875</v>
      </c>
      <c r="BX78" s="1137">
        <f>VLOOKUP(AP78,'CROP FACTORS'!$C$5:$N$130,10,FALSE)</f>
        <v>13</v>
      </c>
      <c r="BY78" s="1138">
        <f t="shared" si="208"/>
        <v>88.484687800000074</v>
      </c>
      <c r="BZ78" s="956">
        <f t="shared" si="209"/>
        <v>0.01</v>
      </c>
      <c r="CA78" s="956">
        <f t="shared" si="210"/>
        <v>1.01</v>
      </c>
      <c r="CB78" s="1148">
        <f t="shared" si="211"/>
        <v>91.237269468082474</v>
      </c>
      <c r="CC78" s="1148">
        <f t="shared" si="212"/>
        <v>90.263230024780086</v>
      </c>
      <c r="CD78" s="956">
        <f t="shared" si="213"/>
        <v>140</v>
      </c>
      <c r="CE78" s="956">
        <f t="shared" si="214"/>
        <v>90000</v>
      </c>
      <c r="CF78" s="956">
        <f t="shared" si="215"/>
        <v>1.4</v>
      </c>
      <c r="CG78" s="956">
        <f t="shared" si="216"/>
        <v>0.02</v>
      </c>
      <c r="CH78" s="956">
        <f t="shared" si="217"/>
        <v>129880.79999999999</v>
      </c>
      <c r="CI78" s="956">
        <f t="shared" si="218"/>
        <v>128519.99999999999</v>
      </c>
      <c r="CJ78" s="1138">
        <f t="shared" si="219"/>
        <v>1.25</v>
      </c>
      <c r="CK78" s="1138">
        <f t="shared" si="220"/>
        <v>2.1</v>
      </c>
      <c r="CL78" s="1138">
        <f t="shared" si="221"/>
        <v>1.25</v>
      </c>
      <c r="CM78" s="1138">
        <f t="shared" si="222"/>
        <v>1.25</v>
      </c>
      <c r="CN78" s="1151">
        <f t="shared" si="223"/>
        <v>5.6</v>
      </c>
      <c r="CO78" s="1138">
        <f t="shared" si="224"/>
        <v>0.80861457037443452</v>
      </c>
      <c r="CP78" s="1138">
        <f t="shared" si="225"/>
        <v>0.81027011929615356</v>
      </c>
      <c r="CQ78" s="1152">
        <f t="shared" si="226"/>
        <v>0.80861457037443452</v>
      </c>
      <c r="CR78" s="1153">
        <f t="shared" si="227"/>
        <v>0.81027011929615356</v>
      </c>
      <c r="CS78" s="1137">
        <f t="shared" si="228"/>
        <v>0.79600000000000004</v>
      </c>
      <c r="CT78" s="956">
        <f t="shared" si="229"/>
        <v>16.945</v>
      </c>
      <c r="CU78" s="956">
        <f t="shared" si="230"/>
        <v>-10.79</v>
      </c>
      <c r="CV78" s="956">
        <f t="shared" si="231"/>
        <v>0</v>
      </c>
      <c r="CW78" s="956">
        <f t="shared" si="232"/>
        <v>9.3587152000000007</v>
      </c>
      <c r="CX78" s="956">
        <f t="shared" si="233"/>
        <v>-10.275524000000001</v>
      </c>
      <c r="CY78" s="1154">
        <f t="shared" si="234"/>
        <v>1.2953592428608243</v>
      </c>
      <c r="CZ78" s="1155">
        <f t="shared" si="235"/>
        <v>0.58059049895240278</v>
      </c>
      <c r="DA78" s="1137" t="e">
        <f>MIN(VLOOKUP(AP78,'CROP FACTORS'!$C$5:$N$130,2,FALSE),VLOOKUP(AQ78,'CROP FACTORS'!$C$5:$N$130,2,FALSE))</f>
        <v>#N/A</v>
      </c>
      <c r="DB78" s="956" t="e">
        <f>MIN(VLOOKUP(AP78,'CROP FACTORS'!$C$5:$N$130,4,FALSE),VLOOKUP(AQ78,'CROP FACTORS'!$C$5:$N$130,4,FALSE))</f>
        <v>#N/A</v>
      </c>
      <c r="DC78" s="1156" t="e">
        <f t="shared" si="236"/>
        <v>#N/A</v>
      </c>
      <c r="DD78" s="1138">
        <f t="shared" si="237"/>
        <v>1.22</v>
      </c>
      <c r="DE78" s="1157" t="str">
        <f t="shared" si="238"/>
        <v>.</v>
      </c>
      <c r="DF78" s="1138" t="e">
        <f t="shared" si="239"/>
        <v>#N/A</v>
      </c>
      <c r="DG78" s="1158" t="e">
        <f t="shared" si="240"/>
        <v>#N/A</v>
      </c>
      <c r="DH78" s="1159" t="str">
        <f t="shared" si="241"/>
        <v>.</v>
      </c>
      <c r="DI78" s="1153" t="e">
        <f t="shared" si="242"/>
        <v>#VALUE!</v>
      </c>
      <c r="DJ78" s="1133">
        <f t="shared" si="243"/>
        <v>5.8</v>
      </c>
      <c r="DK78" s="1160">
        <f t="shared" si="244"/>
        <v>2.7</v>
      </c>
      <c r="DL78" s="1134">
        <f t="shared" si="245"/>
        <v>2.1</v>
      </c>
      <c r="DM78" s="1161">
        <f t="shared" si="246"/>
        <v>87.6074136536906</v>
      </c>
      <c r="DN78" s="1144">
        <f t="shared" si="247"/>
        <v>48.546000000000006</v>
      </c>
      <c r="DO78" s="1162">
        <f t="shared" si="248"/>
        <v>0.59822495995554725</v>
      </c>
      <c r="DP78" s="1163">
        <f t="shared" si="249"/>
        <v>0.59822495995554725</v>
      </c>
      <c r="DQ78" s="1133">
        <f t="shared" si="250"/>
        <v>1.0745</v>
      </c>
      <c r="DR78" s="1134">
        <f t="shared" si="251"/>
        <v>-1.3429999999999999E-2</v>
      </c>
      <c r="DS78" s="1164">
        <f t="shared" si="252"/>
        <v>195.10900000000001</v>
      </c>
      <c r="DT78" s="1146">
        <f t="shared" si="253"/>
        <v>0.99629787304592743</v>
      </c>
      <c r="DU78" s="1165">
        <f t="shared" si="254"/>
        <v>0.99996484645692507</v>
      </c>
      <c r="DV78" s="1166">
        <f t="shared" si="255"/>
        <v>1</v>
      </c>
      <c r="DW78" s="1166">
        <f t="shared" si="256"/>
        <v>1</v>
      </c>
      <c r="DX78" s="1166"/>
      <c r="DY78" s="1166">
        <f t="shared" si="257"/>
        <v>0.96246865459985875</v>
      </c>
      <c r="DZ78" s="1166">
        <f t="shared" si="258"/>
        <v>0.80861457037443452</v>
      </c>
      <c r="EA78" s="1138"/>
      <c r="EB78" s="1166">
        <f t="shared" si="259"/>
        <v>0.58059049895240278</v>
      </c>
      <c r="EC78" s="1166"/>
      <c r="ED78" s="1138"/>
      <c r="EE78" s="1166">
        <f t="shared" si="260"/>
        <v>0.59822495995554725</v>
      </c>
      <c r="EF78" s="1140">
        <f t="shared" si="261"/>
        <v>0.99629787304592743</v>
      </c>
      <c r="EG78" s="1159">
        <f t="shared" si="262"/>
        <v>6.946161403385096</v>
      </c>
      <c r="EH78" s="1167">
        <f t="shared" si="263"/>
        <v>8</v>
      </c>
      <c r="EI78" s="1150">
        <f t="shared" si="264"/>
        <v>0.868270175423137</v>
      </c>
      <c r="EJ78" s="1168">
        <f t="shared" si="265"/>
        <v>1.5805904989524029</v>
      </c>
      <c r="EK78" s="1169">
        <f t="shared" si="266"/>
        <v>2</v>
      </c>
      <c r="EL78" s="1170">
        <f t="shared" si="267"/>
        <v>0.79029524947620144</v>
      </c>
      <c r="EM78" s="1159">
        <f t="shared" si="268"/>
        <v>0.96246865459985875</v>
      </c>
      <c r="EN78" s="1167">
        <f t="shared" si="269"/>
        <v>1</v>
      </c>
      <c r="EO78" s="1171">
        <f t="shared" si="270"/>
        <v>0.96246865459985875</v>
      </c>
      <c r="EP78" s="1168">
        <f t="shared" si="271"/>
        <v>2.5981898064124724</v>
      </c>
      <c r="EQ78" s="1169">
        <f t="shared" si="272"/>
        <v>3</v>
      </c>
      <c r="ER78" s="1146">
        <f t="shared" si="273"/>
        <v>0.86606326880415752</v>
      </c>
      <c r="ES78" s="1159">
        <f t="shared" si="274"/>
        <v>1.8049124434203621</v>
      </c>
      <c r="ET78" s="1167">
        <f t="shared" si="275"/>
        <v>2</v>
      </c>
      <c r="EU78" s="1155">
        <f t="shared" si="276"/>
        <v>0.90245622171018103</v>
      </c>
      <c r="EV78" s="1159">
        <f t="shared" si="277"/>
        <v>2.7673810980202207</v>
      </c>
      <c r="EW78" s="1167">
        <f t="shared" si="278"/>
        <v>3</v>
      </c>
      <c r="EX78" s="1155">
        <f t="shared" si="279"/>
        <v>0.9224603660067402</v>
      </c>
    </row>
    <row r="79" spans="2:154">
      <c r="B79" s="1218" t="s">
        <v>1274</v>
      </c>
      <c r="C79" s="1219">
        <v>6</v>
      </c>
      <c r="D79" s="1226" t="s">
        <v>1267</v>
      </c>
      <c r="E79" s="1226" t="s">
        <v>1268</v>
      </c>
      <c r="F79" s="1227" t="s">
        <v>1266</v>
      </c>
      <c r="V79" s="1278">
        <v>46.1</v>
      </c>
      <c r="W79" s="1262">
        <v>3.6049999999999995</v>
      </c>
      <c r="X79" s="1283">
        <v>96.8</v>
      </c>
      <c r="Y79" s="1272">
        <v>2529.2485759854176</v>
      </c>
      <c r="Z79" s="1255" t="s">
        <v>1058</v>
      </c>
      <c r="AA79" s="1277">
        <v>5.2233999999999998</v>
      </c>
      <c r="AB79" s="1261">
        <v>15.4</v>
      </c>
      <c r="AC79" s="1282">
        <v>1.2945393211047862</v>
      </c>
      <c r="AD79" s="1271" t="s">
        <v>1058</v>
      </c>
      <c r="AE79" s="1271" t="s">
        <v>1058</v>
      </c>
      <c r="AF79" s="1254">
        <v>117.93865956349885</v>
      </c>
      <c r="AG79" s="1282">
        <v>181.03299999999999</v>
      </c>
      <c r="AH79" s="1267">
        <v>4</v>
      </c>
      <c r="AI79" s="1267">
        <v>4</v>
      </c>
      <c r="AJ79" s="1267">
        <v>4</v>
      </c>
      <c r="AK79" s="1267">
        <v>1</v>
      </c>
      <c r="AL79" s="1267">
        <v>2</v>
      </c>
      <c r="AM79" s="1267">
        <v>2</v>
      </c>
      <c r="AN79" s="1267">
        <v>3</v>
      </c>
      <c r="AO79" s="1267">
        <v>2</v>
      </c>
      <c r="AP79" s="1267">
        <v>109</v>
      </c>
      <c r="AQ79" s="1267"/>
      <c r="AR79" s="1267">
        <v>2</v>
      </c>
      <c r="AS79" s="1267">
        <v>5</v>
      </c>
      <c r="AT79" s="1267">
        <v>2</v>
      </c>
      <c r="AU79" s="1267"/>
      <c r="AV79" s="1133">
        <f t="shared" si="182"/>
        <v>3.81</v>
      </c>
      <c r="AW79" s="1134">
        <f t="shared" si="183"/>
        <v>1.05</v>
      </c>
      <c r="AX79" s="1134">
        <f t="shared" si="184"/>
        <v>0.15</v>
      </c>
      <c r="AY79" s="1135">
        <f t="shared" si="185"/>
        <v>3.6049999999999995</v>
      </c>
      <c r="AZ79" s="1136">
        <f t="shared" si="186"/>
        <v>0.99999685926907877</v>
      </c>
      <c r="BA79" s="1137">
        <f t="shared" si="187"/>
        <v>0.89993809999999996</v>
      </c>
      <c r="BB79" s="956">
        <f t="shared" si="188"/>
        <v>1.1599999999999999</v>
      </c>
      <c r="BC79" s="1138">
        <f t="shared" si="189"/>
        <v>1</v>
      </c>
      <c r="BD79" s="1139">
        <f t="shared" si="190"/>
        <v>96.8</v>
      </c>
      <c r="BE79" s="1138">
        <f t="shared" si="191"/>
        <v>0.38997011460047049</v>
      </c>
      <c r="BF79" s="1140">
        <f t="shared" si="192"/>
        <v>1</v>
      </c>
      <c r="BG79" s="1137">
        <f t="shared" si="193"/>
        <v>0.03</v>
      </c>
      <c r="BH79" s="956">
        <f t="shared" si="194"/>
        <v>1</v>
      </c>
      <c r="BI79" s="956">
        <f t="shared" si="195"/>
        <v>1.08</v>
      </c>
      <c r="BJ79" s="956">
        <f t="shared" si="196"/>
        <v>0</v>
      </c>
      <c r="BK79" s="956">
        <f t="shared" si="197"/>
        <v>1.08</v>
      </c>
      <c r="BL79" s="956">
        <f t="shared" si="198"/>
        <v>0</v>
      </c>
      <c r="BM79" s="1141">
        <f t="shared" si="199"/>
        <v>2529.2485759854176</v>
      </c>
      <c r="BN79" s="1142">
        <f t="shared" si="200"/>
        <v>1</v>
      </c>
      <c r="BO79" s="1143">
        <f t="shared" si="201"/>
        <v>0.43227500000000002</v>
      </c>
      <c r="BP79" s="1144">
        <f t="shared" si="202"/>
        <v>0.9</v>
      </c>
      <c r="BQ79" s="1134">
        <f t="shared" si="203"/>
        <v>0.9</v>
      </c>
      <c r="BR79" s="1145" t="str">
        <f t="shared" si="204"/>
        <v>.</v>
      </c>
      <c r="BS79" s="1146" t="e">
        <f t="shared" si="205"/>
        <v>#VALUE!</v>
      </c>
      <c r="BT79" s="1147">
        <f>VLOOKUP(AP79,'CROP FACTORS'!$C$5:$N$130,7,FALSE)</f>
        <v>5.5</v>
      </c>
      <c r="BU79" s="1148">
        <f>VLOOKUP(AP79,'CROP FACTORS'!$C$5:$P$130,8,FALSE)</f>
        <v>1</v>
      </c>
      <c r="BV79" s="1149">
        <f t="shared" si="206"/>
        <v>5.2233999999999998</v>
      </c>
      <c r="BW79" s="1150">
        <f t="shared" si="207"/>
        <v>0.96246865459985875</v>
      </c>
      <c r="BX79" s="1137">
        <f>VLOOKUP(AP79,'CROP FACTORS'!$C$5:$N$130,10,FALSE)</f>
        <v>13</v>
      </c>
      <c r="BY79" s="1138">
        <f t="shared" si="208"/>
        <v>88.484687800000074</v>
      </c>
      <c r="BZ79" s="956">
        <f t="shared" si="209"/>
        <v>0.01</v>
      </c>
      <c r="CA79" s="956">
        <f t="shared" si="210"/>
        <v>1.01</v>
      </c>
      <c r="CB79" s="1148">
        <f t="shared" si="211"/>
        <v>91.70645952514198</v>
      </c>
      <c r="CC79" s="1148">
        <f t="shared" si="212"/>
        <v>90.263230024780086</v>
      </c>
      <c r="CD79" s="956">
        <f t="shared" si="213"/>
        <v>140</v>
      </c>
      <c r="CE79" s="956">
        <f t="shared" si="214"/>
        <v>90000</v>
      </c>
      <c r="CF79" s="956">
        <f t="shared" si="215"/>
        <v>1.4</v>
      </c>
      <c r="CG79" s="956">
        <f t="shared" si="216"/>
        <v>0.02</v>
      </c>
      <c r="CH79" s="956">
        <f t="shared" si="217"/>
        <v>130542.29999999999</v>
      </c>
      <c r="CI79" s="956">
        <f t="shared" si="218"/>
        <v>128519.99999999999</v>
      </c>
      <c r="CJ79" s="1138">
        <f t="shared" si="219"/>
        <v>1.25</v>
      </c>
      <c r="CK79" s="1138">
        <f t="shared" si="220"/>
        <v>2.1</v>
      </c>
      <c r="CL79" s="1138">
        <f t="shared" si="221"/>
        <v>1.25</v>
      </c>
      <c r="CM79" s="1138">
        <f t="shared" si="222"/>
        <v>1.25</v>
      </c>
      <c r="CN79" s="1151">
        <f t="shared" si="223"/>
        <v>15.4</v>
      </c>
      <c r="CO79" s="1138">
        <f t="shared" si="224"/>
        <v>1</v>
      </c>
      <c r="CP79" s="1138">
        <f t="shared" si="225"/>
        <v>1</v>
      </c>
      <c r="CQ79" s="1152">
        <f t="shared" si="226"/>
        <v>1</v>
      </c>
      <c r="CR79" s="1153">
        <f t="shared" si="227"/>
        <v>1</v>
      </c>
      <c r="CS79" s="1137">
        <f t="shared" si="228"/>
        <v>0.79600000000000004</v>
      </c>
      <c r="CT79" s="956">
        <f t="shared" si="229"/>
        <v>16.945</v>
      </c>
      <c r="CU79" s="956">
        <f t="shared" si="230"/>
        <v>-10.79</v>
      </c>
      <c r="CV79" s="956">
        <f t="shared" si="231"/>
        <v>0</v>
      </c>
      <c r="CW79" s="956">
        <f t="shared" si="232"/>
        <v>9.3587152000000007</v>
      </c>
      <c r="CX79" s="956">
        <f t="shared" si="233"/>
        <v>-10.275524000000001</v>
      </c>
      <c r="CY79" s="1154">
        <f t="shared" si="234"/>
        <v>1.2945393211047862</v>
      </c>
      <c r="CZ79" s="1155">
        <f t="shared" si="235"/>
        <v>0.58235465543673226</v>
      </c>
      <c r="DA79" s="1137" t="e">
        <f>MIN(VLOOKUP(AP79,'CROP FACTORS'!$C$5:$N$130,2,FALSE),VLOOKUP(AQ79,'CROP FACTORS'!$C$5:$N$130,2,FALSE))</f>
        <v>#N/A</v>
      </c>
      <c r="DB79" s="956" t="e">
        <f>MIN(VLOOKUP(AP79,'CROP FACTORS'!$C$5:$N$130,4,FALSE),VLOOKUP(AQ79,'CROP FACTORS'!$C$5:$N$130,4,FALSE))</f>
        <v>#N/A</v>
      </c>
      <c r="DC79" s="1156" t="e">
        <f t="shared" si="236"/>
        <v>#N/A</v>
      </c>
      <c r="DD79" s="1138">
        <f t="shared" si="237"/>
        <v>1.22</v>
      </c>
      <c r="DE79" s="1157" t="str">
        <f t="shared" si="238"/>
        <v>.</v>
      </c>
      <c r="DF79" s="1138" t="e">
        <f t="shared" si="239"/>
        <v>#N/A</v>
      </c>
      <c r="DG79" s="1158" t="e">
        <f t="shared" si="240"/>
        <v>#N/A</v>
      </c>
      <c r="DH79" s="1159" t="str">
        <f t="shared" si="241"/>
        <v>.</v>
      </c>
      <c r="DI79" s="1153" t="e">
        <f t="shared" si="242"/>
        <v>#VALUE!</v>
      </c>
      <c r="DJ79" s="1133">
        <f t="shared" si="243"/>
        <v>5.8</v>
      </c>
      <c r="DK79" s="1160">
        <f t="shared" si="244"/>
        <v>2.7</v>
      </c>
      <c r="DL79" s="1134">
        <f t="shared" si="245"/>
        <v>2.1</v>
      </c>
      <c r="DM79" s="1161">
        <f t="shared" si="246"/>
        <v>117.93865956349885</v>
      </c>
      <c r="DN79" s="1144">
        <f t="shared" si="247"/>
        <v>48.546000000000006</v>
      </c>
      <c r="DO79" s="1162">
        <f t="shared" si="248"/>
        <v>0.87228743585913193</v>
      </c>
      <c r="DP79" s="1163">
        <f t="shared" si="249"/>
        <v>0.87228743585913193</v>
      </c>
      <c r="DQ79" s="1133">
        <f t="shared" si="250"/>
        <v>1.0745</v>
      </c>
      <c r="DR79" s="1134">
        <f t="shared" si="251"/>
        <v>-1.3429999999999999E-2</v>
      </c>
      <c r="DS79" s="1164">
        <f t="shared" si="252"/>
        <v>181.03299999999999</v>
      </c>
      <c r="DT79" s="1146">
        <f t="shared" si="253"/>
        <v>0.98002478489463363</v>
      </c>
      <c r="DU79" s="1165">
        <f t="shared" si="254"/>
        <v>0.99999685926907877</v>
      </c>
      <c r="DV79" s="1166">
        <f t="shared" si="255"/>
        <v>1</v>
      </c>
      <c r="DW79" s="1166">
        <f t="shared" si="256"/>
        <v>1</v>
      </c>
      <c r="DX79" s="1166"/>
      <c r="DY79" s="1166">
        <f t="shared" si="257"/>
        <v>0.96246865459985875</v>
      </c>
      <c r="DZ79" s="1166">
        <f t="shared" si="258"/>
        <v>1</v>
      </c>
      <c r="EA79" s="1138"/>
      <c r="EB79" s="1166">
        <f t="shared" si="259"/>
        <v>0.58235465543673226</v>
      </c>
      <c r="EC79" s="1166"/>
      <c r="ED79" s="1138"/>
      <c r="EE79" s="1166">
        <f t="shared" si="260"/>
        <v>0.87228743585913193</v>
      </c>
      <c r="EF79" s="1140">
        <f t="shared" si="261"/>
        <v>0.98002478489463363</v>
      </c>
      <c r="EG79" s="1159">
        <f t="shared" si="262"/>
        <v>7.3971323900594355</v>
      </c>
      <c r="EH79" s="1167">
        <f t="shared" si="263"/>
        <v>8</v>
      </c>
      <c r="EI79" s="1150">
        <f t="shared" si="264"/>
        <v>0.92464154875742943</v>
      </c>
      <c r="EJ79" s="1168">
        <f t="shared" si="265"/>
        <v>1.5823546554367323</v>
      </c>
      <c r="EK79" s="1169">
        <f t="shared" si="266"/>
        <v>2</v>
      </c>
      <c r="EL79" s="1170">
        <f t="shared" si="267"/>
        <v>0.79117732771836613</v>
      </c>
      <c r="EM79" s="1159">
        <f t="shared" si="268"/>
        <v>0.96246865459985875</v>
      </c>
      <c r="EN79" s="1167">
        <f t="shared" si="269"/>
        <v>1</v>
      </c>
      <c r="EO79" s="1171">
        <f t="shared" si="270"/>
        <v>0.96246865459985875</v>
      </c>
      <c r="EP79" s="1168">
        <f t="shared" si="271"/>
        <v>2.8722842951282108</v>
      </c>
      <c r="EQ79" s="1169">
        <f t="shared" si="272"/>
        <v>3</v>
      </c>
      <c r="ER79" s="1146">
        <f t="shared" si="273"/>
        <v>0.95742809837607024</v>
      </c>
      <c r="ES79" s="1159">
        <f t="shared" si="274"/>
        <v>1.9800247848946335</v>
      </c>
      <c r="ET79" s="1167">
        <f t="shared" si="275"/>
        <v>2</v>
      </c>
      <c r="EU79" s="1155">
        <f t="shared" si="276"/>
        <v>0.99001239244731676</v>
      </c>
      <c r="EV79" s="1159">
        <f t="shared" si="277"/>
        <v>2.9424934394944922</v>
      </c>
      <c r="EW79" s="1167">
        <f t="shared" si="278"/>
        <v>3</v>
      </c>
      <c r="EX79" s="1155">
        <f t="shared" si="279"/>
        <v>0.98083114649816405</v>
      </c>
    </row>
    <row r="80" spans="2:154">
      <c r="B80" s="1218" t="s">
        <v>1274</v>
      </c>
      <c r="C80" s="1219">
        <v>7</v>
      </c>
      <c r="D80" s="1226" t="s">
        <v>1267</v>
      </c>
      <c r="E80" s="1226" t="s">
        <v>1268</v>
      </c>
      <c r="F80" s="1227" t="s">
        <v>1266</v>
      </c>
      <c r="V80" s="1278">
        <v>56.7</v>
      </c>
      <c r="W80" s="1262">
        <v>3.09</v>
      </c>
      <c r="X80" s="1283">
        <v>96.3</v>
      </c>
      <c r="Y80" s="1272">
        <v>2189.895721925132</v>
      </c>
      <c r="Z80" s="1255" t="s">
        <v>1058</v>
      </c>
      <c r="AA80" s="1277">
        <v>5.1311999999999998</v>
      </c>
      <c r="AB80" s="1261">
        <v>13.8</v>
      </c>
      <c r="AC80" s="1282">
        <v>1.3912900883172865</v>
      </c>
      <c r="AD80" s="1271" t="s">
        <v>1058</v>
      </c>
      <c r="AE80" s="1271" t="s">
        <v>1058</v>
      </c>
      <c r="AF80" s="1254">
        <v>113.21468354430374</v>
      </c>
      <c r="AG80" s="1282">
        <v>189.244</v>
      </c>
      <c r="AH80" s="1285">
        <v>4</v>
      </c>
      <c r="AI80" s="1267">
        <v>4</v>
      </c>
      <c r="AJ80" s="1267">
        <v>4</v>
      </c>
      <c r="AK80" s="1285">
        <v>1</v>
      </c>
      <c r="AL80" s="1285">
        <v>2</v>
      </c>
      <c r="AM80" s="1285">
        <v>2</v>
      </c>
      <c r="AN80" s="1285">
        <v>3</v>
      </c>
      <c r="AO80" s="1285">
        <v>2</v>
      </c>
      <c r="AP80" s="1267">
        <v>109</v>
      </c>
      <c r="AQ80" s="1285"/>
      <c r="AR80" s="1285">
        <v>2</v>
      </c>
      <c r="AS80" s="1285">
        <v>5</v>
      </c>
      <c r="AT80" s="1285">
        <v>2</v>
      </c>
      <c r="AU80" s="1285"/>
      <c r="AV80" s="1133">
        <f t="shared" si="182"/>
        <v>3.81</v>
      </c>
      <c r="AW80" s="1134">
        <f t="shared" si="183"/>
        <v>1.05</v>
      </c>
      <c r="AX80" s="1134">
        <f t="shared" si="184"/>
        <v>0.15</v>
      </c>
      <c r="AY80" s="1135">
        <f t="shared" si="185"/>
        <v>3.09</v>
      </c>
      <c r="AZ80" s="1136">
        <f t="shared" si="186"/>
        <v>0.99996642703122229</v>
      </c>
      <c r="BA80" s="1137">
        <f t="shared" si="187"/>
        <v>0.89993809999999996</v>
      </c>
      <c r="BB80" s="956">
        <f t="shared" si="188"/>
        <v>1.1599999999999999</v>
      </c>
      <c r="BC80" s="1138">
        <f t="shared" si="189"/>
        <v>1</v>
      </c>
      <c r="BD80" s="1139">
        <f t="shared" si="190"/>
        <v>96.3</v>
      </c>
      <c r="BE80" s="1138">
        <f t="shared" si="191"/>
        <v>0.40319946110733784</v>
      </c>
      <c r="BF80" s="1140">
        <f t="shared" si="192"/>
        <v>1</v>
      </c>
      <c r="BG80" s="1137">
        <f t="shared" si="193"/>
        <v>0.03</v>
      </c>
      <c r="BH80" s="956">
        <f t="shared" si="194"/>
        <v>1</v>
      </c>
      <c r="BI80" s="956">
        <f t="shared" si="195"/>
        <v>1.08</v>
      </c>
      <c r="BJ80" s="956">
        <f t="shared" si="196"/>
        <v>0</v>
      </c>
      <c r="BK80" s="956">
        <f t="shared" si="197"/>
        <v>1.08</v>
      </c>
      <c r="BL80" s="956">
        <f t="shared" si="198"/>
        <v>0</v>
      </c>
      <c r="BM80" s="1141">
        <f t="shared" si="199"/>
        <v>2189.895721925132</v>
      </c>
      <c r="BN80" s="1142">
        <f t="shared" si="200"/>
        <v>1</v>
      </c>
      <c r="BO80" s="1143">
        <f t="shared" si="201"/>
        <v>0.43227500000000002</v>
      </c>
      <c r="BP80" s="1144">
        <f t="shared" si="202"/>
        <v>0.9</v>
      </c>
      <c r="BQ80" s="1134">
        <f t="shared" si="203"/>
        <v>0.9</v>
      </c>
      <c r="BR80" s="1145" t="str">
        <f t="shared" si="204"/>
        <v>.</v>
      </c>
      <c r="BS80" s="1146" t="e">
        <f t="shared" si="205"/>
        <v>#VALUE!</v>
      </c>
      <c r="BT80" s="1147">
        <f>VLOOKUP(AP80,'CROP FACTORS'!$C$5:$N$130,7,FALSE)</f>
        <v>5.5</v>
      </c>
      <c r="BU80" s="1148">
        <f>VLOOKUP(AP80,'CROP FACTORS'!$C$5:$P$130,8,FALSE)</f>
        <v>1</v>
      </c>
      <c r="BV80" s="1149">
        <f t="shared" si="206"/>
        <v>5.1311999999999998</v>
      </c>
      <c r="BW80" s="1150">
        <f t="shared" si="207"/>
        <v>0.93425419536792587</v>
      </c>
      <c r="BX80" s="1137">
        <f>VLOOKUP(AP80,'CROP FACTORS'!$C$5:$N$130,10,FALSE)</f>
        <v>13</v>
      </c>
      <c r="BY80" s="1138">
        <f t="shared" si="208"/>
        <v>88.484687800000074</v>
      </c>
      <c r="BZ80" s="956">
        <f t="shared" si="209"/>
        <v>0.01</v>
      </c>
      <c r="CA80" s="956">
        <f t="shared" si="210"/>
        <v>1.01</v>
      </c>
      <c r="CB80" s="1148">
        <f t="shared" si="211"/>
        <v>91.246206421550283</v>
      </c>
      <c r="CC80" s="1148">
        <f t="shared" si="212"/>
        <v>90.263230024780086</v>
      </c>
      <c r="CD80" s="956">
        <f t="shared" si="213"/>
        <v>140</v>
      </c>
      <c r="CE80" s="956">
        <f t="shared" si="214"/>
        <v>90000</v>
      </c>
      <c r="CF80" s="956">
        <f t="shared" si="215"/>
        <v>1.4</v>
      </c>
      <c r="CG80" s="956">
        <f t="shared" si="216"/>
        <v>0.02</v>
      </c>
      <c r="CH80" s="956">
        <f t="shared" si="217"/>
        <v>129893.4</v>
      </c>
      <c r="CI80" s="956">
        <f t="shared" si="218"/>
        <v>128519.99999999999</v>
      </c>
      <c r="CJ80" s="1138">
        <f t="shared" si="219"/>
        <v>1.25</v>
      </c>
      <c r="CK80" s="1138">
        <f t="shared" si="220"/>
        <v>2.1</v>
      </c>
      <c r="CL80" s="1138">
        <f t="shared" si="221"/>
        <v>1.25</v>
      </c>
      <c r="CM80" s="1138">
        <f t="shared" si="222"/>
        <v>1.25</v>
      </c>
      <c r="CN80" s="1151">
        <f t="shared" si="223"/>
        <v>13.8</v>
      </c>
      <c r="CO80" s="1138">
        <f t="shared" si="224"/>
        <v>0.98523692667439466</v>
      </c>
      <c r="CP80" s="1138">
        <f t="shared" si="225"/>
        <v>0.98539364318224876</v>
      </c>
      <c r="CQ80" s="1152">
        <f t="shared" si="226"/>
        <v>0.98523692667439466</v>
      </c>
      <c r="CR80" s="1153">
        <f t="shared" si="227"/>
        <v>0.98539364318224876</v>
      </c>
      <c r="CS80" s="1137">
        <f t="shared" si="228"/>
        <v>0.79600000000000004</v>
      </c>
      <c r="CT80" s="956">
        <f t="shared" si="229"/>
        <v>16.945</v>
      </c>
      <c r="CU80" s="956">
        <f t="shared" si="230"/>
        <v>-10.79</v>
      </c>
      <c r="CV80" s="956">
        <f t="shared" si="231"/>
        <v>0</v>
      </c>
      <c r="CW80" s="956">
        <f t="shared" si="232"/>
        <v>9.3587152000000007</v>
      </c>
      <c r="CX80" s="956">
        <f t="shared" si="233"/>
        <v>-10.275524000000001</v>
      </c>
      <c r="CY80" s="1154">
        <f t="shared" si="234"/>
        <v>1.3912900883172865</v>
      </c>
      <c r="CZ80" s="1155">
        <f t="shared" si="235"/>
        <v>0.4127569798002434</v>
      </c>
      <c r="DA80" s="1137" t="e">
        <f>MIN(VLOOKUP(AP80,'CROP FACTORS'!$C$5:$N$130,2,FALSE),VLOOKUP(AQ80,'CROP FACTORS'!$C$5:$N$130,2,FALSE))</f>
        <v>#N/A</v>
      </c>
      <c r="DB80" s="956" t="e">
        <f>MIN(VLOOKUP(AP80,'CROP FACTORS'!$C$5:$N$130,4,FALSE),VLOOKUP(AQ80,'CROP FACTORS'!$C$5:$N$130,4,FALSE))</f>
        <v>#N/A</v>
      </c>
      <c r="DC80" s="1156" t="e">
        <f t="shared" si="236"/>
        <v>#N/A</v>
      </c>
      <c r="DD80" s="1138">
        <f t="shared" si="237"/>
        <v>1.22</v>
      </c>
      <c r="DE80" s="1157" t="str">
        <f t="shared" si="238"/>
        <v>.</v>
      </c>
      <c r="DF80" s="1138" t="e">
        <f t="shared" si="239"/>
        <v>#N/A</v>
      </c>
      <c r="DG80" s="1158" t="e">
        <f t="shared" si="240"/>
        <v>#N/A</v>
      </c>
      <c r="DH80" s="1159" t="str">
        <f t="shared" si="241"/>
        <v>.</v>
      </c>
      <c r="DI80" s="1153" t="e">
        <f t="shared" si="242"/>
        <v>#VALUE!</v>
      </c>
      <c r="DJ80" s="1133">
        <f t="shared" si="243"/>
        <v>5.8</v>
      </c>
      <c r="DK80" s="1160">
        <f t="shared" si="244"/>
        <v>2.7</v>
      </c>
      <c r="DL80" s="1134">
        <f t="shared" si="245"/>
        <v>2.1</v>
      </c>
      <c r="DM80" s="1161">
        <f t="shared" si="246"/>
        <v>113.21468354430374</v>
      </c>
      <c r="DN80" s="1144">
        <f t="shared" si="247"/>
        <v>48.546000000000006</v>
      </c>
      <c r="DO80" s="1162">
        <f t="shared" si="248"/>
        <v>0.84267177326939036</v>
      </c>
      <c r="DP80" s="1163">
        <f t="shared" si="249"/>
        <v>0.84267177326939036</v>
      </c>
      <c r="DQ80" s="1133">
        <f t="shared" si="250"/>
        <v>1.0745</v>
      </c>
      <c r="DR80" s="1134">
        <f t="shared" si="251"/>
        <v>-1.3429999999999999E-2</v>
      </c>
      <c r="DS80" s="1164">
        <f t="shared" si="252"/>
        <v>189.244</v>
      </c>
      <c r="DT80" s="1146">
        <f t="shared" si="253"/>
        <v>0.9898890410970701</v>
      </c>
      <c r="DU80" s="1165">
        <f t="shared" si="254"/>
        <v>0.99996642703122229</v>
      </c>
      <c r="DV80" s="1166">
        <f t="shared" si="255"/>
        <v>1</v>
      </c>
      <c r="DW80" s="1166">
        <f t="shared" si="256"/>
        <v>1</v>
      </c>
      <c r="DX80" s="1166"/>
      <c r="DY80" s="1166">
        <f t="shared" si="257"/>
        <v>0.93425419536792587</v>
      </c>
      <c r="DZ80" s="1166">
        <f t="shared" si="258"/>
        <v>0.98523692667439466</v>
      </c>
      <c r="EA80" s="1138"/>
      <c r="EB80" s="1166">
        <f t="shared" si="259"/>
        <v>0.4127569798002434</v>
      </c>
      <c r="EC80" s="1166"/>
      <c r="ED80" s="1138"/>
      <c r="EE80" s="1166">
        <f t="shared" si="260"/>
        <v>0.84267177326939036</v>
      </c>
      <c r="EF80" s="1140">
        <f t="shared" si="261"/>
        <v>0.9898890410970701</v>
      </c>
      <c r="EG80" s="1159">
        <f t="shared" si="262"/>
        <v>7.1647753432402475</v>
      </c>
      <c r="EH80" s="1167">
        <f t="shared" si="263"/>
        <v>8</v>
      </c>
      <c r="EI80" s="1150">
        <f t="shared" si="264"/>
        <v>0.89559691790503093</v>
      </c>
      <c r="EJ80" s="1168">
        <f t="shared" si="265"/>
        <v>1.4127569798002435</v>
      </c>
      <c r="EK80" s="1169">
        <f t="shared" si="266"/>
        <v>2</v>
      </c>
      <c r="EL80" s="1170">
        <f t="shared" si="267"/>
        <v>0.70637848990012175</v>
      </c>
      <c r="EM80" s="1159">
        <f t="shared" si="268"/>
        <v>0.93425419536792587</v>
      </c>
      <c r="EN80" s="1167">
        <f t="shared" si="269"/>
        <v>1</v>
      </c>
      <c r="EO80" s="1171">
        <f t="shared" si="270"/>
        <v>0.93425419536792587</v>
      </c>
      <c r="EP80" s="1168">
        <f t="shared" si="271"/>
        <v>2.8426382003006125</v>
      </c>
      <c r="EQ80" s="1169">
        <f t="shared" si="272"/>
        <v>3</v>
      </c>
      <c r="ER80" s="1146">
        <f t="shared" si="273"/>
        <v>0.94754606676687081</v>
      </c>
      <c r="ES80" s="1159">
        <f t="shared" si="274"/>
        <v>1.9751259677714648</v>
      </c>
      <c r="ET80" s="1167">
        <f t="shared" si="275"/>
        <v>2</v>
      </c>
      <c r="EU80" s="1155">
        <f t="shared" si="276"/>
        <v>0.98756298388573238</v>
      </c>
      <c r="EV80" s="1159">
        <f t="shared" si="277"/>
        <v>2.9093801631393905</v>
      </c>
      <c r="EW80" s="1167">
        <f t="shared" si="278"/>
        <v>3</v>
      </c>
      <c r="EX80" s="1155">
        <f t="shared" si="279"/>
        <v>0.96979338771313017</v>
      </c>
    </row>
    <row r="81" spans="2:154">
      <c r="B81" s="1218" t="s">
        <v>1274</v>
      </c>
      <c r="C81" s="1219">
        <v>8</v>
      </c>
      <c r="D81" s="1226" t="s">
        <v>1267</v>
      </c>
      <c r="E81" s="1226" t="s">
        <v>1268</v>
      </c>
      <c r="F81" s="1227" t="s">
        <v>1266</v>
      </c>
      <c r="V81" s="1268">
        <v>59.1</v>
      </c>
      <c r="W81" s="1276">
        <v>3.94</v>
      </c>
      <c r="X81" s="1260">
        <v>94.340000000000018</v>
      </c>
      <c r="Y81" s="1272">
        <v>1967.9668164535094</v>
      </c>
      <c r="Z81" s="1255" t="s">
        <v>1058</v>
      </c>
      <c r="AA81" s="1277">
        <v>5.2233999999999998</v>
      </c>
      <c r="AB81" s="1299">
        <v>9.83</v>
      </c>
      <c r="AC81" s="1291">
        <v>1.262796635978167</v>
      </c>
      <c r="AD81" s="1271" t="s">
        <v>1058</v>
      </c>
      <c r="AE81" s="1271" t="s">
        <v>1058</v>
      </c>
      <c r="AF81" s="1254">
        <v>118.41272727272722</v>
      </c>
      <c r="AG81" s="1282">
        <v>147.40699999999998</v>
      </c>
      <c r="AH81" s="1285">
        <v>4</v>
      </c>
      <c r="AI81" s="1267">
        <v>4</v>
      </c>
      <c r="AJ81" s="1267">
        <v>4</v>
      </c>
      <c r="AK81" s="1285">
        <v>1</v>
      </c>
      <c r="AL81" s="1285">
        <v>2</v>
      </c>
      <c r="AM81" s="1285">
        <v>2</v>
      </c>
      <c r="AN81" s="1285">
        <v>3</v>
      </c>
      <c r="AO81" s="1285">
        <v>2</v>
      </c>
      <c r="AP81" s="1267">
        <v>109</v>
      </c>
      <c r="AQ81" s="1285"/>
      <c r="AR81" s="1285">
        <v>2</v>
      </c>
      <c r="AS81" s="1285">
        <v>5</v>
      </c>
      <c r="AT81" s="1285">
        <v>2</v>
      </c>
      <c r="AU81" s="1285"/>
      <c r="AV81" s="1133">
        <f t="shared" si="182"/>
        <v>3.81</v>
      </c>
      <c r="AW81" s="1134">
        <f t="shared" si="183"/>
        <v>1.05</v>
      </c>
      <c r="AX81" s="1134">
        <f t="shared" si="184"/>
        <v>0.15</v>
      </c>
      <c r="AY81" s="1135">
        <f t="shared" si="185"/>
        <v>3.94</v>
      </c>
      <c r="AZ81" s="1136">
        <f t="shared" si="186"/>
        <v>0.99999932748751763</v>
      </c>
      <c r="BA81" s="1137">
        <f t="shared" si="187"/>
        <v>0.89993809999999996</v>
      </c>
      <c r="BB81" s="956">
        <f t="shared" si="188"/>
        <v>1.1599999999999999</v>
      </c>
      <c r="BC81" s="1138">
        <f t="shared" si="189"/>
        <v>1</v>
      </c>
      <c r="BD81" s="1139">
        <f t="shared" si="190"/>
        <v>94.340000000000018</v>
      </c>
      <c r="BE81" s="1138">
        <f t="shared" si="191"/>
        <v>0.45393889716706848</v>
      </c>
      <c r="BF81" s="1140">
        <f t="shared" si="192"/>
        <v>1</v>
      </c>
      <c r="BG81" s="1137">
        <f t="shared" si="193"/>
        <v>0.03</v>
      </c>
      <c r="BH81" s="956">
        <f t="shared" si="194"/>
        <v>1</v>
      </c>
      <c r="BI81" s="956">
        <f t="shared" si="195"/>
        <v>1.08</v>
      </c>
      <c r="BJ81" s="956">
        <f t="shared" si="196"/>
        <v>0</v>
      </c>
      <c r="BK81" s="956">
        <f t="shared" si="197"/>
        <v>1.08</v>
      </c>
      <c r="BL81" s="956">
        <f t="shared" si="198"/>
        <v>0</v>
      </c>
      <c r="BM81" s="1141">
        <f t="shared" si="199"/>
        <v>1967.9668164535094</v>
      </c>
      <c r="BN81" s="1142">
        <f t="shared" si="200"/>
        <v>1</v>
      </c>
      <c r="BO81" s="1143">
        <f t="shared" si="201"/>
        <v>0.43227500000000002</v>
      </c>
      <c r="BP81" s="1144">
        <f t="shared" si="202"/>
        <v>0.9</v>
      </c>
      <c r="BQ81" s="1134">
        <f t="shared" si="203"/>
        <v>0.9</v>
      </c>
      <c r="BR81" s="1145" t="str">
        <f t="shared" si="204"/>
        <v>.</v>
      </c>
      <c r="BS81" s="1146" t="e">
        <f t="shared" si="205"/>
        <v>#VALUE!</v>
      </c>
      <c r="BT81" s="1147">
        <f>VLOOKUP(AP81,'CROP FACTORS'!$C$5:$N$130,7,FALSE)</f>
        <v>5.5</v>
      </c>
      <c r="BU81" s="1148">
        <f>VLOOKUP(AP81,'CROP FACTORS'!$C$5:$P$130,8,FALSE)</f>
        <v>1</v>
      </c>
      <c r="BV81" s="1149">
        <f t="shared" si="206"/>
        <v>5.2233999999999998</v>
      </c>
      <c r="BW81" s="1150">
        <f t="shared" si="207"/>
        <v>0.96246865459985875</v>
      </c>
      <c r="BX81" s="1137">
        <f>VLOOKUP(AP81,'CROP FACTORS'!$C$5:$N$130,10,FALSE)</f>
        <v>13</v>
      </c>
      <c r="BY81" s="1138">
        <f t="shared" si="208"/>
        <v>88.484687800000074</v>
      </c>
      <c r="BZ81" s="956">
        <f t="shared" si="209"/>
        <v>0.01</v>
      </c>
      <c r="CA81" s="956">
        <f t="shared" si="210"/>
        <v>1.01</v>
      </c>
      <c r="CB81" s="1148">
        <f t="shared" si="211"/>
        <v>92.005847466313284</v>
      </c>
      <c r="CC81" s="1148">
        <f t="shared" si="212"/>
        <v>90.263230024780086</v>
      </c>
      <c r="CD81" s="956">
        <f t="shared" si="213"/>
        <v>140</v>
      </c>
      <c r="CE81" s="956">
        <f t="shared" si="214"/>
        <v>90000</v>
      </c>
      <c r="CF81" s="956">
        <f t="shared" si="215"/>
        <v>1.4</v>
      </c>
      <c r="CG81" s="956">
        <f t="shared" si="216"/>
        <v>0.02</v>
      </c>
      <c r="CH81" s="956">
        <f t="shared" si="217"/>
        <v>130964.4</v>
      </c>
      <c r="CI81" s="956">
        <f t="shared" si="218"/>
        <v>128519.99999999999</v>
      </c>
      <c r="CJ81" s="1138">
        <f t="shared" si="219"/>
        <v>1.25</v>
      </c>
      <c r="CK81" s="1138">
        <f t="shared" si="220"/>
        <v>2.1</v>
      </c>
      <c r="CL81" s="1138">
        <f t="shared" si="221"/>
        <v>1.25</v>
      </c>
      <c r="CM81" s="1138">
        <f t="shared" si="222"/>
        <v>1.25</v>
      </c>
      <c r="CN81" s="1151">
        <f t="shared" si="223"/>
        <v>9.83</v>
      </c>
      <c r="CO81" s="1138">
        <f t="shared" si="224"/>
        <v>0.95908252597456156</v>
      </c>
      <c r="CP81" s="1138">
        <f t="shared" si="225"/>
        <v>0.9598263804082372</v>
      </c>
      <c r="CQ81" s="1152">
        <f t="shared" si="226"/>
        <v>0.95908252597456156</v>
      </c>
      <c r="CR81" s="1153">
        <f t="shared" si="227"/>
        <v>0.9598263804082372</v>
      </c>
      <c r="CS81" s="1137">
        <f t="shared" si="228"/>
        <v>0.79600000000000004</v>
      </c>
      <c r="CT81" s="956">
        <f t="shared" si="229"/>
        <v>16.945</v>
      </c>
      <c r="CU81" s="956">
        <f t="shared" si="230"/>
        <v>-10.79</v>
      </c>
      <c r="CV81" s="956">
        <f t="shared" si="231"/>
        <v>0</v>
      </c>
      <c r="CW81" s="956">
        <f t="shared" si="232"/>
        <v>9.3587152000000007</v>
      </c>
      <c r="CX81" s="956">
        <f t="shared" si="233"/>
        <v>-10.275524000000001</v>
      </c>
      <c r="CY81" s="1154">
        <f t="shared" si="234"/>
        <v>1.262796635978167</v>
      </c>
      <c r="CZ81" s="1155">
        <f t="shared" si="235"/>
        <v>0.65413955809136659</v>
      </c>
      <c r="DA81" s="1137" t="e">
        <f>MIN(VLOOKUP(AP81,'CROP FACTORS'!$C$5:$N$130,2,FALSE),VLOOKUP(AQ81,'CROP FACTORS'!$C$5:$N$130,2,FALSE))</f>
        <v>#N/A</v>
      </c>
      <c r="DB81" s="956" t="e">
        <f>MIN(VLOOKUP(AP81,'CROP FACTORS'!$C$5:$N$130,4,FALSE),VLOOKUP(AQ81,'CROP FACTORS'!$C$5:$N$130,4,FALSE))</f>
        <v>#N/A</v>
      </c>
      <c r="DC81" s="1156" t="e">
        <f t="shared" si="236"/>
        <v>#N/A</v>
      </c>
      <c r="DD81" s="1138">
        <f t="shared" si="237"/>
        <v>1.22</v>
      </c>
      <c r="DE81" s="1157" t="str">
        <f t="shared" si="238"/>
        <v>.</v>
      </c>
      <c r="DF81" s="1138" t="e">
        <f t="shared" si="239"/>
        <v>#N/A</v>
      </c>
      <c r="DG81" s="1158" t="e">
        <f t="shared" si="240"/>
        <v>#N/A</v>
      </c>
      <c r="DH81" s="1159" t="str">
        <f t="shared" si="241"/>
        <v>.</v>
      </c>
      <c r="DI81" s="1153" t="e">
        <f t="shared" si="242"/>
        <v>#VALUE!</v>
      </c>
      <c r="DJ81" s="1133">
        <f t="shared" si="243"/>
        <v>5.8</v>
      </c>
      <c r="DK81" s="1160">
        <f t="shared" si="244"/>
        <v>2.7</v>
      </c>
      <c r="DL81" s="1134">
        <f t="shared" si="245"/>
        <v>2.1</v>
      </c>
      <c r="DM81" s="1161">
        <f t="shared" si="246"/>
        <v>118.41272727272722</v>
      </c>
      <c r="DN81" s="1144">
        <f t="shared" si="247"/>
        <v>48.546000000000006</v>
      </c>
      <c r="DO81" s="1162">
        <f t="shared" si="248"/>
        <v>0.87500179368179654</v>
      </c>
      <c r="DP81" s="1163">
        <f t="shared" si="249"/>
        <v>0.87500179368179654</v>
      </c>
      <c r="DQ81" s="1133">
        <f t="shared" si="250"/>
        <v>1.0745</v>
      </c>
      <c r="DR81" s="1134">
        <f t="shared" si="251"/>
        <v>-1.3429999999999999E-2</v>
      </c>
      <c r="DS81" s="1164">
        <f t="shared" si="252"/>
        <v>147.40699999999998</v>
      </c>
      <c r="DT81" s="1146">
        <f t="shared" si="253"/>
        <v>0.92609653105762235</v>
      </c>
      <c r="DU81" s="1165">
        <f t="shared" si="254"/>
        <v>0.99999932748751763</v>
      </c>
      <c r="DV81" s="1166">
        <f t="shared" si="255"/>
        <v>1</v>
      </c>
      <c r="DW81" s="1166">
        <f t="shared" si="256"/>
        <v>1</v>
      </c>
      <c r="DX81" s="1166"/>
      <c r="DY81" s="1166">
        <f t="shared" si="257"/>
        <v>0.96246865459985875</v>
      </c>
      <c r="DZ81" s="1166">
        <f t="shared" si="258"/>
        <v>0.95908252597456156</v>
      </c>
      <c r="EA81" s="1138"/>
      <c r="EB81" s="1166">
        <f t="shared" si="259"/>
        <v>0.65413955809136659</v>
      </c>
      <c r="EC81" s="1166"/>
      <c r="ED81" s="1138"/>
      <c r="EE81" s="1166">
        <f t="shared" si="260"/>
        <v>0.87500179368179654</v>
      </c>
      <c r="EF81" s="1140">
        <f t="shared" si="261"/>
        <v>0.92609653105762235</v>
      </c>
      <c r="EG81" s="1159">
        <f t="shared" si="262"/>
        <v>7.3767883908927239</v>
      </c>
      <c r="EH81" s="1167">
        <f t="shared" si="263"/>
        <v>8</v>
      </c>
      <c r="EI81" s="1150">
        <f t="shared" si="264"/>
        <v>0.92209854886159048</v>
      </c>
      <c r="EJ81" s="1168">
        <f t="shared" si="265"/>
        <v>1.6541395580913667</v>
      </c>
      <c r="EK81" s="1169">
        <f t="shared" si="266"/>
        <v>2</v>
      </c>
      <c r="EL81" s="1170">
        <f t="shared" si="267"/>
        <v>0.82706977904568335</v>
      </c>
      <c r="EM81" s="1159">
        <f t="shared" si="268"/>
        <v>0.96246865459985875</v>
      </c>
      <c r="EN81" s="1167">
        <f t="shared" si="269"/>
        <v>1</v>
      </c>
      <c r="EO81" s="1171">
        <f t="shared" si="270"/>
        <v>0.96246865459985875</v>
      </c>
      <c r="EP81" s="1168">
        <f t="shared" si="271"/>
        <v>2.8750011211693143</v>
      </c>
      <c r="EQ81" s="1169">
        <f t="shared" si="272"/>
        <v>3</v>
      </c>
      <c r="ER81" s="1146">
        <f t="shared" si="273"/>
        <v>0.95833370705643806</v>
      </c>
      <c r="ES81" s="1159">
        <f t="shared" si="274"/>
        <v>1.8851790570321838</v>
      </c>
      <c r="ET81" s="1167">
        <f t="shared" si="275"/>
        <v>2</v>
      </c>
      <c r="EU81" s="1155">
        <f t="shared" si="276"/>
        <v>0.9425895285160919</v>
      </c>
      <c r="EV81" s="1159">
        <f t="shared" si="277"/>
        <v>2.8476477116320424</v>
      </c>
      <c r="EW81" s="1167">
        <f t="shared" si="278"/>
        <v>3</v>
      </c>
      <c r="EX81" s="1155">
        <f t="shared" si="279"/>
        <v>0.94921590387734744</v>
      </c>
    </row>
    <row r="82" spans="2:154">
      <c r="B82" s="1222" t="s">
        <v>1274</v>
      </c>
      <c r="C82" s="1219">
        <v>9</v>
      </c>
      <c r="D82" s="1226" t="s">
        <v>1267</v>
      </c>
      <c r="E82" s="1226" t="s">
        <v>1268</v>
      </c>
      <c r="F82" s="1227" t="s">
        <v>1266</v>
      </c>
      <c r="V82" s="1286">
        <v>55.7</v>
      </c>
      <c r="W82" s="1295">
        <v>3.2250000000000001</v>
      </c>
      <c r="X82" s="1298">
        <v>94.62</v>
      </c>
      <c r="Y82" s="1289">
        <v>1045.6317689530692</v>
      </c>
      <c r="Z82" s="1255" t="s">
        <v>1058</v>
      </c>
      <c r="AA82" s="1293">
        <v>5.2233999999999998</v>
      </c>
      <c r="AB82" s="1297">
        <v>7.5</v>
      </c>
      <c r="AC82" s="1288">
        <v>1.3290931665378223</v>
      </c>
      <c r="AD82" s="1271" t="s">
        <v>1058</v>
      </c>
      <c r="AE82" s="1271" t="s">
        <v>1058</v>
      </c>
      <c r="AF82" s="1264">
        <v>121.11757842409006</v>
      </c>
      <c r="AG82" s="1288">
        <v>143.88800000000001</v>
      </c>
      <c r="AH82" s="1311">
        <v>4</v>
      </c>
      <c r="AI82" s="1311">
        <v>4</v>
      </c>
      <c r="AJ82" s="1311">
        <v>4</v>
      </c>
      <c r="AK82" s="1311">
        <v>1</v>
      </c>
      <c r="AL82" s="1311">
        <v>2</v>
      </c>
      <c r="AM82" s="1311">
        <v>2</v>
      </c>
      <c r="AN82" s="1311">
        <v>3</v>
      </c>
      <c r="AO82" s="1311">
        <v>2</v>
      </c>
      <c r="AP82" s="1267">
        <v>109</v>
      </c>
      <c r="AQ82" s="1311"/>
      <c r="AR82" s="1311">
        <v>2</v>
      </c>
      <c r="AS82" s="1311">
        <v>5</v>
      </c>
      <c r="AT82" s="1311">
        <v>2</v>
      </c>
      <c r="AU82" s="1311"/>
      <c r="AV82" s="1133">
        <f t="shared" si="182"/>
        <v>3.81</v>
      </c>
      <c r="AW82" s="1134">
        <f t="shared" si="183"/>
        <v>1.05</v>
      </c>
      <c r="AX82" s="1134">
        <f t="shared" si="184"/>
        <v>0.15</v>
      </c>
      <c r="AY82" s="1135">
        <f t="shared" si="185"/>
        <v>3.2250000000000001</v>
      </c>
      <c r="AZ82" s="1136">
        <f t="shared" si="186"/>
        <v>0.99998195877982277</v>
      </c>
      <c r="BA82" s="1137">
        <f t="shared" si="187"/>
        <v>0.89993809999999996</v>
      </c>
      <c r="BB82" s="956">
        <f t="shared" si="188"/>
        <v>1.1599999999999999</v>
      </c>
      <c r="BC82" s="1138">
        <f t="shared" si="189"/>
        <v>1</v>
      </c>
      <c r="BD82" s="1139">
        <f t="shared" si="190"/>
        <v>94.62</v>
      </c>
      <c r="BE82" s="1138">
        <f t="shared" si="191"/>
        <v>0.44680134152528483</v>
      </c>
      <c r="BF82" s="1140">
        <f t="shared" si="192"/>
        <v>1</v>
      </c>
      <c r="BG82" s="1137">
        <f t="shared" si="193"/>
        <v>0.03</v>
      </c>
      <c r="BH82" s="956">
        <f t="shared" si="194"/>
        <v>1</v>
      </c>
      <c r="BI82" s="956">
        <f t="shared" si="195"/>
        <v>1.08</v>
      </c>
      <c r="BJ82" s="956">
        <f t="shared" si="196"/>
        <v>0</v>
      </c>
      <c r="BK82" s="956">
        <f t="shared" si="197"/>
        <v>1.08</v>
      </c>
      <c r="BL82" s="956">
        <f t="shared" si="198"/>
        <v>0</v>
      </c>
      <c r="BM82" s="1141">
        <f t="shared" si="199"/>
        <v>1045.6317689530692</v>
      </c>
      <c r="BN82" s="1142">
        <f t="shared" si="200"/>
        <v>0.99999999999992117</v>
      </c>
      <c r="BO82" s="1143">
        <f t="shared" si="201"/>
        <v>0.43227500000000002</v>
      </c>
      <c r="BP82" s="1144">
        <f t="shared" si="202"/>
        <v>0.9</v>
      </c>
      <c r="BQ82" s="1134">
        <f t="shared" si="203"/>
        <v>0.9</v>
      </c>
      <c r="BR82" s="1145" t="str">
        <f t="shared" si="204"/>
        <v>.</v>
      </c>
      <c r="BS82" s="1146" t="e">
        <f t="shared" si="205"/>
        <v>#VALUE!</v>
      </c>
      <c r="BT82" s="1147">
        <f>VLOOKUP(AP82,'CROP FACTORS'!$C$5:$N$130,7,FALSE)</f>
        <v>5.5</v>
      </c>
      <c r="BU82" s="1148">
        <f>VLOOKUP(AP82,'CROP FACTORS'!$C$5:$P$130,8,FALSE)</f>
        <v>1</v>
      </c>
      <c r="BV82" s="1149">
        <f t="shared" si="206"/>
        <v>5.2233999999999998</v>
      </c>
      <c r="BW82" s="1150">
        <f t="shared" si="207"/>
        <v>0.96246865459985875</v>
      </c>
      <c r="BX82" s="1137">
        <f>VLOOKUP(AP82,'CROP FACTORS'!$C$5:$N$130,10,FALSE)</f>
        <v>13</v>
      </c>
      <c r="BY82" s="1138">
        <f t="shared" si="208"/>
        <v>88.484687800000074</v>
      </c>
      <c r="BZ82" s="956">
        <f t="shared" si="209"/>
        <v>0.01</v>
      </c>
      <c r="CA82" s="956">
        <f t="shared" si="210"/>
        <v>1.01</v>
      </c>
      <c r="CB82" s="1148">
        <f t="shared" si="211"/>
        <v>91.366855293365575</v>
      </c>
      <c r="CC82" s="1148">
        <f t="shared" si="212"/>
        <v>90.263230024780086</v>
      </c>
      <c r="CD82" s="956">
        <f t="shared" si="213"/>
        <v>140</v>
      </c>
      <c r="CE82" s="956">
        <f t="shared" si="214"/>
        <v>90000</v>
      </c>
      <c r="CF82" s="956">
        <f t="shared" si="215"/>
        <v>1.4</v>
      </c>
      <c r="CG82" s="956">
        <f t="shared" si="216"/>
        <v>0.02</v>
      </c>
      <c r="CH82" s="956">
        <f t="shared" si="217"/>
        <v>130063.49999999999</v>
      </c>
      <c r="CI82" s="956">
        <f t="shared" si="218"/>
        <v>128519.99999999999</v>
      </c>
      <c r="CJ82" s="1138">
        <f t="shared" si="219"/>
        <v>1.25</v>
      </c>
      <c r="CK82" s="1138">
        <f t="shared" si="220"/>
        <v>2.1</v>
      </c>
      <c r="CL82" s="1138">
        <f t="shared" si="221"/>
        <v>1.25</v>
      </c>
      <c r="CM82" s="1138">
        <f t="shared" si="222"/>
        <v>1.25</v>
      </c>
      <c r="CN82" s="1151">
        <f t="shared" si="223"/>
        <v>7.5</v>
      </c>
      <c r="CO82" s="1138">
        <f t="shared" si="224"/>
        <v>0.91161777149417045</v>
      </c>
      <c r="CP82" s="1138">
        <f t="shared" si="225"/>
        <v>0.91259202997002475</v>
      </c>
      <c r="CQ82" s="1152">
        <f t="shared" si="226"/>
        <v>0.91161777149417045</v>
      </c>
      <c r="CR82" s="1153">
        <f t="shared" si="227"/>
        <v>0.91259202997002475</v>
      </c>
      <c r="CS82" s="1137">
        <f t="shared" si="228"/>
        <v>0.79600000000000004</v>
      </c>
      <c r="CT82" s="956">
        <f t="shared" si="229"/>
        <v>16.945</v>
      </c>
      <c r="CU82" s="956">
        <f t="shared" si="230"/>
        <v>-10.79</v>
      </c>
      <c r="CV82" s="956">
        <f t="shared" si="231"/>
        <v>0</v>
      </c>
      <c r="CW82" s="956">
        <f t="shared" si="232"/>
        <v>9.3587152000000007</v>
      </c>
      <c r="CX82" s="956">
        <f t="shared" si="233"/>
        <v>-10.275524000000001</v>
      </c>
      <c r="CY82" s="1154">
        <f t="shared" si="234"/>
        <v>1.3290931665378223</v>
      </c>
      <c r="CZ82" s="1155">
        <f t="shared" si="235"/>
        <v>0.51267653753470088</v>
      </c>
      <c r="DA82" s="1137" t="e">
        <f>MIN(VLOOKUP(AP82,'CROP FACTORS'!$C$5:$N$130,2,FALSE),VLOOKUP(AQ82,'CROP FACTORS'!$C$5:$N$130,2,FALSE))</f>
        <v>#N/A</v>
      </c>
      <c r="DB82" s="956" t="e">
        <f>MIN(VLOOKUP(AP82,'CROP FACTORS'!$C$5:$N$130,4,FALSE),VLOOKUP(AQ82,'CROP FACTORS'!$C$5:$N$130,4,FALSE))</f>
        <v>#N/A</v>
      </c>
      <c r="DC82" s="1156" t="e">
        <f t="shared" si="236"/>
        <v>#N/A</v>
      </c>
      <c r="DD82" s="1138">
        <f t="shared" si="237"/>
        <v>1.22</v>
      </c>
      <c r="DE82" s="1157" t="str">
        <f t="shared" si="238"/>
        <v>.</v>
      </c>
      <c r="DF82" s="1138" t="e">
        <f t="shared" si="239"/>
        <v>#N/A</v>
      </c>
      <c r="DG82" s="1158" t="e">
        <f t="shared" si="240"/>
        <v>#N/A</v>
      </c>
      <c r="DH82" s="1159" t="str">
        <f t="shared" si="241"/>
        <v>.</v>
      </c>
      <c r="DI82" s="1153" t="e">
        <f t="shared" si="242"/>
        <v>#VALUE!</v>
      </c>
      <c r="DJ82" s="1133">
        <f t="shared" si="243"/>
        <v>5.8</v>
      </c>
      <c r="DK82" s="1160">
        <f t="shared" si="244"/>
        <v>2.7</v>
      </c>
      <c r="DL82" s="1134">
        <f t="shared" si="245"/>
        <v>2.1</v>
      </c>
      <c r="DM82" s="1161">
        <f t="shared" si="246"/>
        <v>121.11757842409006</v>
      </c>
      <c r="DN82" s="1144">
        <f t="shared" si="247"/>
        <v>48.546000000000006</v>
      </c>
      <c r="DO82" s="1162">
        <f t="shared" si="248"/>
        <v>0.88963411739019571</v>
      </c>
      <c r="DP82" s="1163">
        <f t="shared" si="249"/>
        <v>0.88963411739019571</v>
      </c>
      <c r="DQ82" s="1133">
        <f t="shared" si="250"/>
        <v>1.0745</v>
      </c>
      <c r="DR82" s="1134">
        <f t="shared" si="251"/>
        <v>-1.3429999999999999E-2</v>
      </c>
      <c r="DS82" s="1164">
        <f t="shared" si="252"/>
        <v>143.88800000000001</v>
      </c>
      <c r="DT82" s="1146">
        <f t="shared" si="253"/>
        <v>0.91891458458540609</v>
      </c>
      <c r="DU82" s="1165">
        <f t="shared" si="254"/>
        <v>0.99998195877982277</v>
      </c>
      <c r="DV82" s="1166">
        <f t="shared" si="255"/>
        <v>1</v>
      </c>
      <c r="DW82" s="1166">
        <f t="shared" si="256"/>
        <v>0.99999999999992117</v>
      </c>
      <c r="DX82" s="1166"/>
      <c r="DY82" s="1166">
        <f t="shared" si="257"/>
        <v>0.96246865459985875</v>
      </c>
      <c r="DZ82" s="1166">
        <f t="shared" si="258"/>
        <v>0.91161777149417045</v>
      </c>
      <c r="EA82" s="1138"/>
      <c r="EB82" s="1166">
        <f t="shared" si="259"/>
        <v>0.51267653753470088</v>
      </c>
      <c r="EC82" s="1166"/>
      <c r="ED82" s="1138"/>
      <c r="EE82" s="1166">
        <f t="shared" si="260"/>
        <v>0.88963411739019571</v>
      </c>
      <c r="EF82" s="1140">
        <f t="shared" si="261"/>
        <v>0.91891458458540609</v>
      </c>
      <c r="EG82" s="1159">
        <f t="shared" si="262"/>
        <v>7.1952936243840755</v>
      </c>
      <c r="EH82" s="1167">
        <f t="shared" si="263"/>
        <v>8</v>
      </c>
      <c r="EI82" s="1150">
        <f t="shared" si="264"/>
        <v>0.89941170304800944</v>
      </c>
      <c r="EJ82" s="1168">
        <f t="shared" si="265"/>
        <v>1.5126765375347009</v>
      </c>
      <c r="EK82" s="1169">
        <f t="shared" si="266"/>
        <v>2</v>
      </c>
      <c r="EL82" s="1170">
        <f t="shared" si="267"/>
        <v>0.75633826876735044</v>
      </c>
      <c r="EM82" s="1159">
        <f t="shared" si="268"/>
        <v>0.96246865459985875</v>
      </c>
      <c r="EN82" s="1167">
        <f t="shared" si="269"/>
        <v>1</v>
      </c>
      <c r="EO82" s="1171">
        <f t="shared" si="270"/>
        <v>0.96246865459985875</v>
      </c>
      <c r="EP82" s="1168">
        <f t="shared" si="271"/>
        <v>2.8896160761699399</v>
      </c>
      <c r="EQ82" s="1169">
        <f t="shared" si="272"/>
        <v>3</v>
      </c>
      <c r="ER82" s="1146">
        <f t="shared" si="273"/>
        <v>0.96320535872331325</v>
      </c>
      <c r="ES82" s="1159">
        <f t="shared" si="274"/>
        <v>1.8305323560795765</v>
      </c>
      <c r="ET82" s="1167">
        <f t="shared" si="275"/>
        <v>2</v>
      </c>
      <c r="EU82" s="1155">
        <f t="shared" si="276"/>
        <v>0.91526617803978827</v>
      </c>
      <c r="EV82" s="1159">
        <f t="shared" si="277"/>
        <v>2.7930010106794354</v>
      </c>
      <c r="EW82" s="1167">
        <f t="shared" si="278"/>
        <v>3</v>
      </c>
      <c r="EX82" s="1155">
        <f t="shared" si="279"/>
        <v>0.9310003368931451</v>
      </c>
    </row>
    <row r="83" spans="2:154">
      <c r="B83" s="1218" t="s">
        <v>1274</v>
      </c>
      <c r="C83" s="1240">
        <v>1</v>
      </c>
      <c r="D83" s="1243" t="s">
        <v>1269</v>
      </c>
      <c r="E83" s="1243" t="s">
        <v>1270</v>
      </c>
      <c r="F83" s="1244" t="s">
        <v>1271</v>
      </c>
      <c r="V83" s="1278">
        <v>69.099999999999994</v>
      </c>
      <c r="W83" s="1262">
        <v>2.1950000000000003</v>
      </c>
      <c r="X83" s="1283">
        <v>84.259999999999977</v>
      </c>
      <c r="Y83" s="1272">
        <v>1587.16224980432</v>
      </c>
      <c r="Z83" s="1255" t="s">
        <v>1058</v>
      </c>
      <c r="AA83" s="1277">
        <v>5.5921999999999992</v>
      </c>
      <c r="AB83" s="1261">
        <v>9</v>
      </c>
      <c r="AC83" s="1282">
        <v>1.4011291493897442</v>
      </c>
      <c r="AD83" s="1271" t="s">
        <v>1058</v>
      </c>
      <c r="AE83" s="1271" t="s">
        <v>1058</v>
      </c>
      <c r="AF83" s="1254">
        <v>63.840523507500244</v>
      </c>
      <c r="AG83" s="1282">
        <v>111.04400000000001</v>
      </c>
      <c r="AH83" s="1253">
        <v>4</v>
      </c>
      <c r="AI83" s="1253">
        <v>4</v>
      </c>
      <c r="AJ83" s="1253">
        <v>4</v>
      </c>
      <c r="AK83" s="1253">
        <v>1</v>
      </c>
      <c r="AL83" s="1253">
        <v>2</v>
      </c>
      <c r="AM83" s="1253">
        <v>2</v>
      </c>
      <c r="AN83" s="1253">
        <v>3</v>
      </c>
      <c r="AO83" s="1253">
        <v>2</v>
      </c>
      <c r="AP83" s="1253">
        <v>110</v>
      </c>
      <c r="AQ83" s="1253"/>
      <c r="AR83" s="1253">
        <v>2</v>
      </c>
      <c r="AS83" s="1253">
        <v>5</v>
      </c>
      <c r="AT83" s="1253">
        <v>2</v>
      </c>
      <c r="AU83" s="1253"/>
      <c r="AV83" s="1133">
        <f t="shared" si="182"/>
        <v>3.81</v>
      </c>
      <c r="AW83" s="1134">
        <f t="shared" si="183"/>
        <v>1.05</v>
      </c>
      <c r="AX83" s="1134">
        <f t="shared" si="184"/>
        <v>0.15</v>
      </c>
      <c r="AY83" s="1135">
        <f t="shared" si="185"/>
        <v>2.1950000000000003</v>
      </c>
      <c r="AZ83" s="1136">
        <f t="shared" si="186"/>
        <v>0.99794257619748949</v>
      </c>
      <c r="BA83" s="1137">
        <f t="shared" si="187"/>
        <v>0.89993809999999996</v>
      </c>
      <c r="BB83" s="956">
        <f t="shared" si="188"/>
        <v>1.1599999999999999</v>
      </c>
      <c r="BC83" s="1138">
        <f t="shared" si="189"/>
        <v>1</v>
      </c>
      <c r="BD83" s="1139">
        <f t="shared" si="190"/>
        <v>84.259999999999977</v>
      </c>
      <c r="BE83" s="1138">
        <f t="shared" si="191"/>
        <v>0.68429532528749404</v>
      </c>
      <c r="BF83" s="1140">
        <f t="shared" si="192"/>
        <v>1</v>
      </c>
      <c r="BG83" s="1137">
        <f t="shared" si="193"/>
        <v>0.03</v>
      </c>
      <c r="BH83" s="956">
        <f t="shared" si="194"/>
        <v>1</v>
      </c>
      <c r="BI83" s="956">
        <f t="shared" si="195"/>
        <v>1.08</v>
      </c>
      <c r="BJ83" s="956">
        <f t="shared" si="196"/>
        <v>0</v>
      </c>
      <c r="BK83" s="956">
        <f t="shared" si="197"/>
        <v>1.08</v>
      </c>
      <c r="BL83" s="956">
        <f t="shared" si="198"/>
        <v>0</v>
      </c>
      <c r="BM83" s="1141">
        <f t="shared" si="199"/>
        <v>1587.16224980432</v>
      </c>
      <c r="BN83" s="1142">
        <f t="shared" si="200"/>
        <v>1</v>
      </c>
      <c r="BO83" s="1143">
        <f t="shared" si="201"/>
        <v>0.43227500000000002</v>
      </c>
      <c r="BP83" s="1144">
        <f t="shared" si="202"/>
        <v>0.9</v>
      </c>
      <c r="BQ83" s="1134">
        <f t="shared" si="203"/>
        <v>0.9</v>
      </c>
      <c r="BR83" s="1145" t="str">
        <f t="shared" si="204"/>
        <v>.</v>
      </c>
      <c r="BS83" s="1146" t="e">
        <f t="shared" si="205"/>
        <v>#VALUE!</v>
      </c>
      <c r="BT83" s="1147">
        <f>VLOOKUP(AP83,'CROP FACTORS'!$C$5:$N$130,7,FALSE)</f>
        <v>6</v>
      </c>
      <c r="BU83" s="1148">
        <f>VLOOKUP(AP83,'CROP FACTORS'!$C$5:$P$130,8,FALSE)</f>
        <v>1</v>
      </c>
      <c r="BV83" s="1149">
        <f t="shared" si="206"/>
        <v>5.5921999999999992</v>
      </c>
      <c r="BW83" s="1150">
        <f t="shared" si="207"/>
        <v>0.92021271841205121</v>
      </c>
      <c r="BX83" s="1137">
        <f>VLOOKUP(AP83,'CROP FACTORS'!$C$5:$N$130,10,FALSE)</f>
        <v>16</v>
      </c>
      <c r="BY83" s="1138">
        <f t="shared" si="208"/>
        <v>170.02558720000002</v>
      </c>
      <c r="BZ83" s="956">
        <f t="shared" si="209"/>
        <v>0.01</v>
      </c>
      <c r="CA83" s="956">
        <f t="shared" si="210"/>
        <v>1.01</v>
      </c>
      <c r="CB83" s="1148">
        <f t="shared" si="211"/>
        <v>173.79496945543042</v>
      </c>
      <c r="CC83" s="1148">
        <f t="shared" si="212"/>
        <v>173.44310150272003</v>
      </c>
      <c r="CD83" s="956">
        <f t="shared" si="213"/>
        <v>140</v>
      </c>
      <c r="CE83" s="956">
        <f t="shared" si="214"/>
        <v>90000</v>
      </c>
      <c r="CF83" s="956">
        <f t="shared" si="215"/>
        <v>1.4</v>
      </c>
      <c r="CG83" s="956">
        <f t="shared" si="216"/>
        <v>0.02</v>
      </c>
      <c r="CH83" s="956">
        <f t="shared" si="217"/>
        <v>128765.7</v>
      </c>
      <c r="CI83" s="956">
        <f t="shared" si="218"/>
        <v>128519.99999999999</v>
      </c>
      <c r="CJ83" s="1138">
        <f t="shared" si="219"/>
        <v>1.25</v>
      </c>
      <c r="CK83" s="1138">
        <f t="shared" si="220"/>
        <v>2.1</v>
      </c>
      <c r="CL83" s="1138">
        <f t="shared" si="221"/>
        <v>1.25</v>
      </c>
      <c r="CM83" s="1138">
        <f t="shared" si="222"/>
        <v>1.25</v>
      </c>
      <c r="CN83" s="1151">
        <f t="shared" si="223"/>
        <v>9</v>
      </c>
      <c r="CO83" s="1138">
        <f t="shared" si="224"/>
        <v>0.90451765238921678</v>
      </c>
      <c r="CP83" s="1138">
        <f t="shared" si="225"/>
        <v>0.90469254287673451</v>
      </c>
      <c r="CQ83" s="1152">
        <f t="shared" si="226"/>
        <v>0.90451765238921678</v>
      </c>
      <c r="CR83" s="1153">
        <f t="shared" si="227"/>
        <v>0.90469254287673451</v>
      </c>
      <c r="CS83" s="1137">
        <f t="shared" si="228"/>
        <v>0.79600000000000004</v>
      </c>
      <c r="CT83" s="956">
        <f t="shared" si="229"/>
        <v>16.945</v>
      </c>
      <c r="CU83" s="956">
        <f t="shared" si="230"/>
        <v>-10.79</v>
      </c>
      <c r="CV83" s="956">
        <f t="shared" si="231"/>
        <v>0</v>
      </c>
      <c r="CW83" s="956">
        <f t="shared" si="232"/>
        <v>9.3587152000000007</v>
      </c>
      <c r="CX83" s="956">
        <f t="shared" si="233"/>
        <v>-10.275524000000001</v>
      </c>
      <c r="CY83" s="1154">
        <f t="shared" si="234"/>
        <v>1.4011291493897442</v>
      </c>
      <c r="CZ83" s="1155">
        <f t="shared" si="235"/>
        <v>0.3998495489886742</v>
      </c>
      <c r="DA83" s="1137" t="e">
        <f>MIN(VLOOKUP(AP83,'CROP FACTORS'!$C$5:$N$130,2,FALSE),VLOOKUP(AQ83,'CROP FACTORS'!$C$5:$N$130,2,FALSE))</f>
        <v>#N/A</v>
      </c>
      <c r="DB83" s="956" t="e">
        <f>MIN(VLOOKUP(AP83,'CROP FACTORS'!$C$5:$N$130,4,FALSE),VLOOKUP(AQ83,'CROP FACTORS'!$C$5:$N$130,4,FALSE))</f>
        <v>#N/A</v>
      </c>
      <c r="DC83" s="1156" t="e">
        <f t="shared" si="236"/>
        <v>#N/A</v>
      </c>
      <c r="DD83" s="1138">
        <f t="shared" si="237"/>
        <v>1.22</v>
      </c>
      <c r="DE83" s="1157" t="str">
        <f t="shared" si="238"/>
        <v>.</v>
      </c>
      <c r="DF83" s="1138" t="e">
        <f t="shared" si="239"/>
        <v>#N/A</v>
      </c>
      <c r="DG83" s="1158" t="e">
        <f t="shared" si="240"/>
        <v>#N/A</v>
      </c>
      <c r="DH83" s="1159" t="str">
        <f t="shared" si="241"/>
        <v>.</v>
      </c>
      <c r="DI83" s="1153" t="e">
        <f t="shared" si="242"/>
        <v>#VALUE!</v>
      </c>
      <c r="DJ83" s="1133">
        <f t="shared" si="243"/>
        <v>5.8</v>
      </c>
      <c r="DK83" s="1160">
        <f t="shared" si="244"/>
        <v>2.7</v>
      </c>
      <c r="DL83" s="1134">
        <f t="shared" si="245"/>
        <v>2.1</v>
      </c>
      <c r="DM83" s="1161">
        <f t="shared" si="246"/>
        <v>63.840523507500244</v>
      </c>
      <c r="DN83" s="1144">
        <f t="shared" si="247"/>
        <v>48.546000000000006</v>
      </c>
      <c r="DO83" s="1162">
        <f t="shared" si="248"/>
        <v>0.31739827277076188</v>
      </c>
      <c r="DP83" s="1163">
        <f t="shared" si="249"/>
        <v>0.31739827277076188</v>
      </c>
      <c r="DQ83" s="1133">
        <f t="shared" si="250"/>
        <v>1.0745</v>
      </c>
      <c r="DR83" s="1134">
        <f t="shared" si="251"/>
        <v>-1.3429999999999999E-2</v>
      </c>
      <c r="DS83" s="1164">
        <f t="shared" si="252"/>
        <v>111.04400000000001</v>
      </c>
      <c r="DT83" s="1146">
        <f t="shared" si="253"/>
        <v>0.83265674829148761</v>
      </c>
      <c r="DU83" s="1165">
        <f t="shared" si="254"/>
        <v>0.99794257619748949</v>
      </c>
      <c r="DV83" s="1166">
        <f t="shared" si="255"/>
        <v>1</v>
      </c>
      <c r="DW83" s="1166">
        <f t="shared" si="256"/>
        <v>1</v>
      </c>
      <c r="DX83" s="1166"/>
      <c r="DY83" s="1166">
        <f t="shared" si="257"/>
        <v>0.92021271841205121</v>
      </c>
      <c r="DZ83" s="1166">
        <f t="shared" si="258"/>
        <v>0.90451765238921678</v>
      </c>
      <c r="EA83" s="1138"/>
      <c r="EB83" s="1166">
        <f t="shared" si="259"/>
        <v>0.3998495489886742</v>
      </c>
      <c r="EC83" s="1166"/>
      <c r="ED83" s="1138"/>
      <c r="EE83" s="1166">
        <f t="shared" si="260"/>
        <v>0.31739827277076188</v>
      </c>
      <c r="EF83" s="1140">
        <f t="shared" si="261"/>
        <v>0.83265674829148761</v>
      </c>
      <c r="EG83" s="1159">
        <f t="shared" si="262"/>
        <v>6.3725775170496819</v>
      </c>
      <c r="EH83" s="1167">
        <f t="shared" si="263"/>
        <v>8</v>
      </c>
      <c r="EI83" s="1302">
        <f t="shared" si="264"/>
        <v>0.79657218963121024</v>
      </c>
      <c r="EJ83" s="1168">
        <f t="shared" si="265"/>
        <v>1.3998495489886742</v>
      </c>
      <c r="EK83" s="1169">
        <f t="shared" si="266"/>
        <v>2</v>
      </c>
      <c r="EL83" s="1170">
        <f t="shared" si="267"/>
        <v>0.6999247744943371</v>
      </c>
      <c r="EM83" s="1159">
        <f t="shared" si="268"/>
        <v>0.92021271841205121</v>
      </c>
      <c r="EN83" s="1167">
        <f t="shared" si="269"/>
        <v>1</v>
      </c>
      <c r="EO83" s="1171">
        <f t="shared" si="270"/>
        <v>0.92021271841205121</v>
      </c>
      <c r="EP83" s="1168">
        <f t="shared" si="271"/>
        <v>2.3153408489682512</v>
      </c>
      <c r="EQ83" s="1169">
        <f t="shared" si="272"/>
        <v>3</v>
      </c>
      <c r="ER83" s="1146">
        <f t="shared" si="273"/>
        <v>0.77178028298941703</v>
      </c>
      <c r="ES83" s="1159">
        <f t="shared" si="274"/>
        <v>1.7371744006807044</v>
      </c>
      <c r="ET83" s="1167">
        <f t="shared" si="275"/>
        <v>2</v>
      </c>
      <c r="EU83" s="1155">
        <f t="shared" si="276"/>
        <v>0.86858720034035219</v>
      </c>
      <c r="EV83" s="1159">
        <f t="shared" si="277"/>
        <v>2.6573871190927556</v>
      </c>
      <c r="EW83" s="1167">
        <f t="shared" si="278"/>
        <v>3</v>
      </c>
      <c r="EX83" s="1155">
        <f t="shared" si="279"/>
        <v>0.88579570636425187</v>
      </c>
    </row>
    <row r="84" spans="2:154">
      <c r="B84" s="1218" t="s">
        <v>1274</v>
      </c>
      <c r="C84" s="1219">
        <v>2</v>
      </c>
      <c r="D84" s="1230" t="s">
        <v>1269</v>
      </c>
      <c r="E84" s="1230" t="s">
        <v>1270</v>
      </c>
      <c r="F84" s="1231" t="s">
        <v>1271</v>
      </c>
      <c r="V84" s="1278">
        <v>66.3</v>
      </c>
      <c r="W84" s="1262">
        <v>2.0649999999999999</v>
      </c>
      <c r="X84" s="1283">
        <v>88.58</v>
      </c>
      <c r="Y84" s="1272">
        <v>815.8693915903217</v>
      </c>
      <c r="Z84" s="1255" t="s">
        <v>1058</v>
      </c>
      <c r="AA84" s="1277">
        <v>5.6844000000000001</v>
      </c>
      <c r="AB84" s="1261">
        <v>8.6</v>
      </c>
      <c r="AC84" s="1282">
        <v>1.3745402581582213</v>
      </c>
      <c r="AD84" s="1271" t="s">
        <v>1058</v>
      </c>
      <c r="AE84" s="1271" t="s">
        <v>1058</v>
      </c>
      <c r="AF84" s="1254">
        <v>49.320082135523627</v>
      </c>
      <c r="AG84" s="1282">
        <v>110.26199999999999</v>
      </c>
      <c r="AH84" s="1253">
        <v>4</v>
      </c>
      <c r="AI84" s="1253">
        <v>4</v>
      </c>
      <c r="AJ84" s="1253">
        <v>4</v>
      </c>
      <c r="AK84" s="1253">
        <v>1</v>
      </c>
      <c r="AL84" s="1253">
        <v>2</v>
      </c>
      <c r="AM84" s="1253">
        <v>2</v>
      </c>
      <c r="AN84" s="1253">
        <v>3</v>
      </c>
      <c r="AO84" s="1253">
        <v>2</v>
      </c>
      <c r="AP84" s="1253">
        <v>110</v>
      </c>
      <c r="AQ84" s="1253"/>
      <c r="AR84" s="1253">
        <v>2</v>
      </c>
      <c r="AS84" s="1253">
        <v>5</v>
      </c>
      <c r="AT84" s="1253">
        <v>2</v>
      </c>
      <c r="AU84" s="1253"/>
      <c r="AV84" s="1133">
        <f t="shared" si="182"/>
        <v>3.81</v>
      </c>
      <c r="AW84" s="1134">
        <f t="shared" si="183"/>
        <v>1.05</v>
      </c>
      <c r="AX84" s="1134">
        <f t="shared" si="184"/>
        <v>0.15</v>
      </c>
      <c r="AY84" s="1135">
        <f t="shared" si="185"/>
        <v>2.0649999999999999</v>
      </c>
      <c r="AZ84" s="1136">
        <f t="shared" si="186"/>
        <v>0.99626463122226294</v>
      </c>
      <c r="BA84" s="1137">
        <f t="shared" si="187"/>
        <v>0.89993809999999996</v>
      </c>
      <c r="BB84" s="956">
        <f t="shared" si="188"/>
        <v>1.1599999999999999</v>
      </c>
      <c r="BC84" s="1138">
        <f t="shared" si="189"/>
        <v>1</v>
      </c>
      <c r="BD84" s="1139">
        <f t="shared" si="190"/>
        <v>88.58</v>
      </c>
      <c r="BE84" s="1138">
        <f t="shared" si="191"/>
        <v>0.59213418072526924</v>
      </c>
      <c r="BF84" s="1140">
        <f t="shared" si="192"/>
        <v>1</v>
      </c>
      <c r="BG84" s="1137">
        <f t="shared" si="193"/>
        <v>0.03</v>
      </c>
      <c r="BH84" s="956">
        <f t="shared" si="194"/>
        <v>1</v>
      </c>
      <c r="BI84" s="956">
        <f t="shared" si="195"/>
        <v>1.08</v>
      </c>
      <c r="BJ84" s="956">
        <f t="shared" si="196"/>
        <v>0</v>
      </c>
      <c r="BK84" s="956">
        <f t="shared" si="197"/>
        <v>1.08</v>
      </c>
      <c r="BL84" s="956">
        <f t="shared" si="198"/>
        <v>0</v>
      </c>
      <c r="BM84" s="1141">
        <f t="shared" si="199"/>
        <v>815.8693915903217</v>
      </c>
      <c r="BN84" s="1142">
        <f t="shared" si="200"/>
        <v>0.99999999986513699</v>
      </c>
      <c r="BO84" s="1143">
        <f t="shared" si="201"/>
        <v>0.43227500000000002</v>
      </c>
      <c r="BP84" s="1144">
        <f t="shared" si="202"/>
        <v>0.9</v>
      </c>
      <c r="BQ84" s="1134">
        <f t="shared" si="203"/>
        <v>0.9</v>
      </c>
      <c r="BR84" s="1145" t="str">
        <f t="shared" si="204"/>
        <v>.</v>
      </c>
      <c r="BS84" s="1146" t="e">
        <f t="shared" si="205"/>
        <v>#VALUE!</v>
      </c>
      <c r="BT84" s="1147">
        <f>VLOOKUP(AP84,'CROP FACTORS'!$C$5:$N$130,7,FALSE)</f>
        <v>6</v>
      </c>
      <c r="BU84" s="1148">
        <f>VLOOKUP(AP84,'CROP FACTORS'!$C$5:$P$130,8,FALSE)</f>
        <v>1</v>
      </c>
      <c r="BV84" s="1149">
        <f t="shared" si="206"/>
        <v>5.6844000000000001</v>
      </c>
      <c r="BW84" s="1150">
        <f t="shared" si="207"/>
        <v>0.95141809102773545</v>
      </c>
      <c r="BX84" s="1137">
        <f>VLOOKUP(AP84,'CROP FACTORS'!$C$5:$N$130,10,FALSE)</f>
        <v>16</v>
      </c>
      <c r="BY84" s="1138">
        <f t="shared" si="208"/>
        <v>170.02558720000002</v>
      </c>
      <c r="BZ84" s="956">
        <f t="shared" si="209"/>
        <v>0.01</v>
      </c>
      <c r="CA84" s="956">
        <f t="shared" si="210"/>
        <v>1.01</v>
      </c>
      <c r="CB84" s="1148">
        <f t="shared" si="211"/>
        <v>173.57172585943681</v>
      </c>
      <c r="CC84" s="1148">
        <f t="shared" si="212"/>
        <v>173.44310150272003</v>
      </c>
      <c r="CD84" s="956">
        <f t="shared" si="213"/>
        <v>140</v>
      </c>
      <c r="CE84" s="956">
        <f t="shared" si="214"/>
        <v>90000</v>
      </c>
      <c r="CF84" s="956">
        <f t="shared" si="215"/>
        <v>1.4</v>
      </c>
      <c r="CG84" s="956">
        <f t="shared" si="216"/>
        <v>0.02</v>
      </c>
      <c r="CH84" s="956">
        <f t="shared" si="217"/>
        <v>128601.9</v>
      </c>
      <c r="CI84" s="956">
        <f t="shared" si="218"/>
        <v>128519.99999999999</v>
      </c>
      <c r="CJ84" s="1138">
        <f t="shared" si="219"/>
        <v>1.25</v>
      </c>
      <c r="CK84" s="1138">
        <f t="shared" si="220"/>
        <v>2.1</v>
      </c>
      <c r="CL84" s="1138">
        <f t="shared" si="221"/>
        <v>1.25</v>
      </c>
      <c r="CM84" s="1138">
        <f t="shared" si="222"/>
        <v>1.25</v>
      </c>
      <c r="CN84" s="1151">
        <f t="shared" si="223"/>
        <v>8.6</v>
      </c>
      <c r="CO84" s="1138">
        <f t="shared" si="224"/>
        <v>0.89193217566308869</v>
      </c>
      <c r="CP84" s="1138">
        <f t="shared" si="225"/>
        <v>0.89200360995888184</v>
      </c>
      <c r="CQ84" s="1152">
        <f t="shared" si="226"/>
        <v>0.89193217566308869</v>
      </c>
      <c r="CR84" s="1153">
        <f t="shared" si="227"/>
        <v>0.89200360995888184</v>
      </c>
      <c r="CS84" s="1137">
        <f t="shared" si="228"/>
        <v>0.79600000000000004</v>
      </c>
      <c r="CT84" s="956">
        <f t="shared" si="229"/>
        <v>16.945</v>
      </c>
      <c r="CU84" s="956">
        <f t="shared" si="230"/>
        <v>-10.79</v>
      </c>
      <c r="CV84" s="956">
        <f t="shared" si="231"/>
        <v>0</v>
      </c>
      <c r="CW84" s="956">
        <f t="shared" si="232"/>
        <v>9.3587152000000007</v>
      </c>
      <c r="CX84" s="956">
        <f t="shared" si="233"/>
        <v>-10.275524000000001</v>
      </c>
      <c r="CY84" s="1154">
        <f t="shared" si="234"/>
        <v>1.3745402581582213</v>
      </c>
      <c r="CZ84" s="1155">
        <f t="shared" si="235"/>
        <v>0.43648134047806786</v>
      </c>
      <c r="DA84" s="1137" t="e">
        <f>MIN(VLOOKUP(AP84,'CROP FACTORS'!$C$5:$N$130,2,FALSE),VLOOKUP(AQ84,'CROP FACTORS'!$C$5:$N$130,2,FALSE))</f>
        <v>#N/A</v>
      </c>
      <c r="DB84" s="956" t="e">
        <f>MIN(VLOOKUP(AP84,'CROP FACTORS'!$C$5:$N$130,4,FALSE),VLOOKUP(AQ84,'CROP FACTORS'!$C$5:$N$130,4,FALSE))</f>
        <v>#N/A</v>
      </c>
      <c r="DC84" s="1156" t="e">
        <f t="shared" si="236"/>
        <v>#N/A</v>
      </c>
      <c r="DD84" s="1138">
        <f t="shared" si="237"/>
        <v>1.22</v>
      </c>
      <c r="DE84" s="1157" t="str">
        <f t="shared" si="238"/>
        <v>.</v>
      </c>
      <c r="DF84" s="1138" t="e">
        <f t="shared" si="239"/>
        <v>#N/A</v>
      </c>
      <c r="DG84" s="1158" t="e">
        <f t="shared" si="240"/>
        <v>#N/A</v>
      </c>
      <c r="DH84" s="1159" t="str">
        <f t="shared" si="241"/>
        <v>.</v>
      </c>
      <c r="DI84" s="1153" t="e">
        <f t="shared" si="242"/>
        <v>#VALUE!</v>
      </c>
      <c r="DJ84" s="1133">
        <f t="shared" si="243"/>
        <v>5.8</v>
      </c>
      <c r="DK84" s="1160">
        <f t="shared" si="244"/>
        <v>2.7</v>
      </c>
      <c r="DL84" s="1134">
        <f t="shared" si="245"/>
        <v>2.1</v>
      </c>
      <c r="DM84" s="1161">
        <f t="shared" si="246"/>
        <v>49.320082135523627</v>
      </c>
      <c r="DN84" s="1144">
        <f t="shared" si="247"/>
        <v>48.546000000000006</v>
      </c>
      <c r="DO84" s="1162">
        <f t="shared" si="248"/>
        <v>0.18648862665397495</v>
      </c>
      <c r="DP84" s="1163">
        <f t="shared" si="249"/>
        <v>0.18648862665397495</v>
      </c>
      <c r="DQ84" s="1133">
        <f t="shared" si="250"/>
        <v>1.0745</v>
      </c>
      <c r="DR84" s="1134">
        <f t="shared" si="251"/>
        <v>-1.3429999999999999E-2</v>
      </c>
      <c r="DS84" s="1164">
        <f t="shared" si="252"/>
        <v>110.26199999999999</v>
      </c>
      <c r="DT84" s="1146">
        <f t="shared" si="253"/>
        <v>0.83010346342037489</v>
      </c>
      <c r="DU84" s="1165">
        <f t="shared" si="254"/>
        <v>0.99626463122226294</v>
      </c>
      <c r="DV84" s="1166">
        <f t="shared" si="255"/>
        <v>1</v>
      </c>
      <c r="DW84" s="1166">
        <f t="shared" si="256"/>
        <v>0.99999999986513699</v>
      </c>
      <c r="DX84" s="1166"/>
      <c r="DY84" s="1166">
        <f t="shared" si="257"/>
        <v>0.95141809102773545</v>
      </c>
      <c r="DZ84" s="1166">
        <f t="shared" si="258"/>
        <v>0.89193217566308869</v>
      </c>
      <c r="EA84" s="1138"/>
      <c r="EB84" s="1166">
        <f t="shared" si="259"/>
        <v>0.43648134047806786</v>
      </c>
      <c r="EC84" s="1166"/>
      <c r="ED84" s="1138"/>
      <c r="EE84" s="1166">
        <f t="shared" si="260"/>
        <v>0.18648862665397495</v>
      </c>
      <c r="EF84" s="1140">
        <f t="shared" si="261"/>
        <v>0.83010346342037489</v>
      </c>
      <c r="EG84" s="1159">
        <f t="shared" si="262"/>
        <v>6.2926883283306418</v>
      </c>
      <c r="EH84" s="1167">
        <f t="shared" si="263"/>
        <v>8</v>
      </c>
      <c r="EI84" s="1302">
        <f t="shared" si="264"/>
        <v>0.78658604104133023</v>
      </c>
      <c r="EJ84" s="1168">
        <f t="shared" si="265"/>
        <v>1.4364813404780679</v>
      </c>
      <c r="EK84" s="1169">
        <f t="shared" si="266"/>
        <v>2</v>
      </c>
      <c r="EL84" s="1170">
        <f t="shared" si="267"/>
        <v>0.71824067023903393</v>
      </c>
      <c r="EM84" s="1159">
        <f t="shared" si="268"/>
        <v>0.95141809102773545</v>
      </c>
      <c r="EN84" s="1167">
        <f t="shared" si="269"/>
        <v>1</v>
      </c>
      <c r="EO84" s="1171">
        <f t="shared" si="270"/>
        <v>0.95141809102773545</v>
      </c>
      <c r="EP84" s="1168">
        <f t="shared" si="271"/>
        <v>2.1827532577413749</v>
      </c>
      <c r="EQ84" s="1169">
        <f t="shared" si="272"/>
        <v>3</v>
      </c>
      <c r="ER84" s="1146">
        <f t="shared" si="273"/>
        <v>0.72758441924712491</v>
      </c>
      <c r="ES84" s="1159">
        <f t="shared" si="274"/>
        <v>1.7220356390834635</v>
      </c>
      <c r="ET84" s="1167">
        <f t="shared" si="275"/>
        <v>2</v>
      </c>
      <c r="EU84" s="1155">
        <f t="shared" si="276"/>
        <v>0.86101781954173173</v>
      </c>
      <c r="EV84" s="1159">
        <f t="shared" si="277"/>
        <v>2.6734537301111989</v>
      </c>
      <c r="EW84" s="1167">
        <f t="shared" si="278"/>
        <v>3</v>
      </c>
      <c r="EX84" s="1155">
        <f t="shared" si="279"/>
        <v>0.89115124337039964</v>
      </c>
    </row>
    <row r="85" spans="2:154">
      <c r="B85" s="1218" t="s">
        <v>1274</v>
      </c>
      <c r="C85" s="1219">
        <v>3</v>
      </c>
      <c r="D85" s="1230" t="s">
        <v>1269</v>
      </c>
      <c r="E85" s="1230" t="s">
        <v>1270</v>
      </c>
      <c r="F85" s="1231" t="s">
        <v>1271</v>
      </c>
      <c r="V85" s="1278">
        <v>66.225000000000009</v>
      </c>
      <c r="W85" s="1262">
        <v>1.9049999999999998</v>
      </c>
      <c r="X85" s="1283">
        <v>86.933333333333323</v>
      </c>
      <c r="Y85" s="1272">
        <v>795.0440771349862</v>
      </c>
      <c r="Z85" s="1255" t="s">
        <v>1058</v>
      </c>
      <c r="AA85" s="1277">
        <v>5.9494749999999996</v>
      </c>
      <c r="AB85" s="1262">
        <v>8.85</v>
      </c>
      <c r="AC85" s="1282">
        <v>1.3671609623538783</v>
      </c>
      <c r="AD85" s="1271" t="s">
        <v>1058</v>
      </c>
      <c r="AE85" s="1271" t="s">
        <v>1058</v>
      </c>
      <c r="AF85" s="1254">
        <v>44.46918733484771</v>
      </c>
      <c r="AG85" s="1282">
        <v>120.52575</v>
      </c>
      <c r="AH85" s="1253">
        <v>4</v>
      </c>
      <c r="AI85" s="1253">
        <v>4</v>
      </c>
      <c r="AJ85" s="1253">
        <v>4</v>
      </c>
      <c r="AK85" s="1253">
        <v>1</v>
      </c>
      <c r="AL85" s="1253">
        <v>2</v>
      </c>
      <c r="AM85" s="1253">
        <v>2</v>
      </c>
      <c r="AN85" s="1253">
        <v>3</v>
      </c>
      <c r="AO85" s="1253">
        <v>2</v>
      </c>
      <c r="AP85" s="1253">
        <v>110</v>
      </c>
      <c r="AQ85" s="1253"/>
      <c r="AR85" s="1253">
        <v>2</v>
      </c>
      <c r="AS85" s="1253">
        <v>5</v>
      </c>
      <c r="AT85" s="1253">
        <v>2</v>
      </c>
      <c r="AU85" s="1253"/>
      <c r="AV85" s="1133">
        <f t="shared" si="182"/>
        <v>3.81</v>
      </c>
      <c r="AW85" s="1134">
        <f t="shared" si="183"/>
        <v>1.05</v>
      </c>
      <c r="AX85" s="1134">
        <f t="shared" si="184"/>
        <v>0.15</v>
      </c>
      <c r="AY85" s="1135">
        <f t="shared" si="185"/>
        <v>1.9049999999999998</v>
      </c>
      <c r="AZ85" s="1136">
        <f t="shared" si="186"/>
        <v>0.99223300306424478</v>
      </c>
      <c r="BA85" s="1137">
        <f t="shared" si="187"/>
        <v>0.89993809999999996</v>
      </c>
      <c r="BB85" s="956">
        <f t="shared" si="188"/>
        <v>1.1599999999999999</v>
      </c>
      <c r="BC85" s="1138">
        <f t="shared" si="189"/>
        <v>1</v>
      </c>
      <c r="BD85" s="1139">
        <f t="shared" si="190"/>
        <v>86.933333333333323</v>
      </c>
      <c r="BE85" s="1138">
        <f t="shared" si="191"/>
        <v>0.62847148110615925</v>
      </c>
      <c r="BF85" s="1140">
        <f t="shared" si="192"/>
        <v>1</v>
      </c>
      <c r="BG85" s="1137">
        <f t="shared" si="193"/>
        <v>0.03</v>
      </c>
      <c r="BH85" s="956">
        <f t="shared" si="194"/>
        <v>1</v>
      </c>
      <c r="BI85" s="956">
        <f t="shared" si="195"/>
        <v>1.08</v>
      </c>
      <c r="BJ85" s="956">
        <f t="shared" si="196"/>
        <v>0</v>
      </c>
      <c r="BK85" s="956">
        <f t="shared" si="197"/>
        <v>1.08</v>
      </c>
      <c r="BL85" s="956">
        <f t="shared" si="198"/>
        <v>0</v>
      </c>
      <c r="BM85" s="1141">
        <f t="shared" si="199"/>
        <v>795.0440771349862</v>
      </c>
      <c r="BN85" s="1142">
        <f t="shared" si="200"/>
        <v>0.99999999973519338</v>
      </c>
      <c r="BO85" s="1143">
        <f t="shared" si="201"/>
        <v>0.43227500000000002</v>
      </c>
      <c r="BP85" s="1144">
        <f t="shared" si="202"/>
        <v>0.9</v>
      </c>
      <c r="BQ85" s="1134">
        <f t="shared" si="203"/>
        <v>0.9</v>
      </c>
      <c r="BR85" s="1145" t="str">
        <f t="shared" si="204"/>
        <v>.</v>
      </c>
      <c r="BS85" s="1146" t="e">
        <f t="shared" si="205"/>
        <v>#VALUE!</v>
      </c>
      <c r="BT85" s="1147">
        <f>VLOOKUP(AP85,'CROP FACTORS'!$C$5:$N$130,7,FALSE)</f>
        <v>6</v>
      </c>
      <c r="BU85" s="1148">
        <f>VLOOKUP(AP85,'CROP FACTORS'!$C$5:$P$130,8,FALSE)</f>
        <v>1</v>
      </c>
      <c r="BV85" s="1149">
        <f t="shared" si="206"/>
        <v>5.9494749999999996</v>
      </c>
      <c r="BW85" s="1150">
        <f t="shared" si="207"/>
        <v>0.99872442642395987</v>
      </c>
      <c r="BX85" s="1137">
        <f>VLOOKUP(AP85,'CROP FACTORS'!$C$5:$N$130,10,FALSE)</f>
        <v>16</v>
      </c>
      <c r="BY85" s="1138">
        <f t="shared" si="208"/>
        <v>170.02558720000002</v>
      </c>
      <c r="BZ85" s="956">
        <f t="shared" si="209"/>
        <v>0.01</v>
      </c>
      <c r="CA85" s="956">
        <f t="shared" si="210"/>
        <v>1.01</v>
      </c>
      <c r="CB85" s="1148">
        <f t="shared" si="211"/>
        <v>173.2969645105216</v>
      </c>
      <c r="CC85" s="1148">
        <f t="shared" si="212"/>
        <v>173.44310150272003</v>
      </c>
      <c r="CD85" s="956">
        <f t="shared" si="213"/>
        <v>140</v>
      </c>
      <c r="CE85" s="956">
        <f t="shared" si="214"/>
        <v>90000</v>
      </c>
      <c r="CF85" s="956">
        <f t="shared" si="215"/>
        <v>1.4</v>
      </c>
      <c r="CG85" s="956">
        <f t="shared" si="216"/>
        <v>0.02</v>
      </c>
      <c r="CH85" s="956">
        <f t="shared" si="217"/>
        <v>128400.29999999999</v>
      </c>
      <c r="CI85" s="956">
        <f t="shared" si="218"/>
        <v>128519.99999999999</v>
      </c>
      <c r="CJ85" s="1138">
        <f t="shared" si="219"/>
        <v>1.25</v>
      </c>
      <c r="CK85" s="1138">
        <f t="shared" si="220"/>
        <v>2.1</v>
      </c>
      <c r="CL85" s="1138">
        <f t="shared" si="221"/>
        <v>1.25</v>
      </c>
      <c r="CM85" s="1138">
        <f t="shared" si="222"/>
        <v>1.25</v>
      </c>
      <c r="CN85" s="1151">
        <f t="shared" si="223"/>
        <v>8.85</v>
      </c>
      <c r="CO85" s="1138">
        <f t="shared" si="224"/>
        <v>0.90024055616807275</v>
      </c>
      <c r="CP85" s="1138">
        <f t="shared" si="225"/>
        <v>0.90016483020185611</v>
      </c>
      <c r="CQ85" s="1152">
        <f t="shared" si="226"/>
        <v>0.90024055616807275</v>
      </c>
      <c r="CR85" s="1153">
        <f t="shared" si="227"/>
        <v>0.90016483020185611</v>
      </c>
      <c r="CS85" s="1137">
        <f t="shared" si="228"/>
        <v>0.79600000000000004</v>
      </c>
      <c r="CT85" s="956">
        <f t="shared" si="229"/>
        <v>16.945</v>
      </c>
      <c r="CU85" s="956">
        <f t="shared" si="230"/>
        <v>-10.79</v>
      </c>
      <c r="CV85" s="956">
        <f t="shared" si="231"/>
        <v>0</v>
      </c>
      <c r="CW85" s="956">
        <f t="shared" si="232"/>
        <v>9.3587152000000007</v>
      </c>
      <c r="CX85" s="956">
        <f t="shared" si="233"/>
        <v>-10.275524000000001</v>
      </c>
      <c r="CY85" s="1154">
        <f t="shared" si="234"/>
        <v>1.3671609623538783</v>
      </c>
      <c r="CZ85" s="1155">
        <f t="shared" si="235"/>
        <v>0.44765875427971669</v>
      </c>
      <c r="DA85" s="1137" t="e">
        <f>MIN(VLOOKUP(AP85,'CROP FACTORS'!$C$5:$N$130,2,FALSE),VLOOKUP(AQ85,'CROP FACTORS'!$C$5:$N$130,2,FALSE))</f>
        <v>#N/A</v>
      </c>
      <c r="DB85" s="956" t="e">
        <f>MIN(VLOOKUP(AP85,'CROP FACTORS'!$C$5:$N$130,4,FALSE),VLOOKUP(AQ85,'CROP FACTORS'!$C$5:$N$130,4,FALSE))</f>
        <v>#N/A</v>
      </c>
      <c r="DC85" s="1156" t="e">
        <f t="shared" si="236"/>
        <v>#N/A</v>
      </c>
      <c r="DD85" s="1138">
        <f t="shared" si="237"/>
        <v>1.22</v>
      </c>
      <c r="DE85" s="1157" t="str">
        <f t="shared" si="238"/>
        <v>.</v>
      </c>
      <c r="DF85" s="1138" t="e">
        <f t="shared" si="239"/>
        <v>#N/A</v>
      </c>
      <c r="DG85" s="1158" t="e">
        <f t="shared" si="240"/>
        <v>#N/A</v>
      </c>
      <c r="DH85" s="1159" t="str">
        <f t="shared" si="241"/>
        <v>.</v>
      </c>
      <c r="DI85" s="1153" t="e">
        <f t="shared" si="242"/>
        <v>#VALUE!</v>
      </c>
      <c r="DJ85" s="1133">
        <f t="shared" si="243"/>
        <v>5.8</v>
      </c>
      <c r="DK85" s="1160">
        <f t="shared" si="244"/>
        <v>2.7</v>
      </c>
      <c r="DL85" s="1134">
        <f t="shared" si="245"/>
        <v>2.1</v>
      </c>
      <c r="DM85" s="1161">
        <f t="shared" si="246"/>
        <v>44.46918733484771</v>
      </c>
      <c r="DN85" s="1144">
        <f t="shared" si="247"/>
        <v>48.546000000000006</v>
      </c>
      <c r="DO85" s="1162">
        <f t="shared" si="248"/>
        <v>0.15329900756452269</v>
      </c>
      <c r="DP85" s="1163">
        <f t="shared" si="249"/>
        <v>0.15329900756452269</v>
      </c>
      <c r="DQ85" s="1133">
        <f t="shared" si="250"/>
        <v>1.0745</v>
      </c>
      <c r="DR85" s="1134">
        <f t="shared" si="251"/>
        <v>-1.3429999999999999E-2</v>
      </c>
      <c r="DS85" s="1164">
        <f t="shared" si="252"/>
        <v>120.52575</v>
      </c>
      <c r="DT85" s="1146">
        <f t="shared" si="253"/>
        <v>0.86157289148794725</v>
      </c>
      <c r="DU85" s="1165">
        <f t="shared" si="254"/>
        <v>0.99223300306424478</v>
      </c>
      <c r="DV85" s="1166">
        <f t="shared" si="255"/>
        <v>1</v>
      </c>
      <c r="DW85" s="1166">
        <f t="shared" si="256"/>
        <v>0.99999999973519338</v>
      </c>
      <c r="DX85" s="1166"/>
      <c r="DY85" s="1166">
        <f t="shared" si="257"/>
        <v>0.99872442642395987</v>
      </c>
      <c r="DZ85" s="1166">
        <f t="shared" si="258"/>
        <v>0.90024055616807275</v>
      </c>
      <c r="EA85" s="1138"/>
      <c r="EB85" s="1166">
        <f t="shared" si="259"/>
        <v>0.44765875427971669</v>
      </c>
      <c r="EC85" s="1166"/>
      <c r="ED85" s="1138"/>
      <c r="EE85" s="1166">
        <f t="shared" si="260"/>
        <v>0.15329900756452269</v>
      </c>
      <c r="EF85" s="1140">
        <f t="shared" si="261"/>
        <v>0.86157289148794725</v>
      </c>
      <c r="EG85" s="1159">
        <f t="shared" si="262"/>
        <v>6.3537286387236573</v>
      </c>
      <c r="EH85" s="1167">
        <f t="shared" si="263"/>
        <v>8</v>
      </c>
      <c r="EI85" s="1302">
        <f t="shared" si="264"/>
        <v>0.79421607984045717</v>
      </c>
      <c r="EJ85" s="1168">
        <f t="shared" si="265"/>
        <v>1.4476587542797166</v>
      </c>
      <c r="EK85" s="1169">
        <f t="shared" si="266"/>
        <v>2</v>
      </c>
      <c r="EL85" s="1170">
        <f t="shared" si="267"/>
        <v>0.72382937713985829</v>
      </c>
      <c r="EM85" s="1159">
        <f t="shared" si="268"/>
        <v>0.99872442642395987</v>
      </c>
      <c r="EN85" s="1167">
        <f t="shared" si="269"/>
        <v>1</v>
      </c>
      <c r="EO85" s="1171">
        <f t="shared" si="270"/>
        <v>0.99872442642395987</v>
      </c>
      <c r="EP85" s="1168">
        <f t="shared" si="271"/>
        <v>2.145532010363961</v>
      </c>
      <c r="EQ85" s="1169">
        <f t="shared" si="272"/>
        <v>3</v>
      </c>
      <c r="ER85" s="1146">
        <f t="shared" si="273"/>
        <v>0.71517733678798701</v>
      </c>
      <c r="ES85" s="1159">
        <f t="shared" si="274"/>
        <v>1.7618134476560199</v>
      </c>
      <c r="ET85" s="1167">
        <f t="shared" si="275"/>
        <v>2</v>
      </c>
      <c r="EU85" s="1155">
        <f t="shared" si="276"/>
        <v>0.88090672382800994</v>
      </c>
      <c r="EV85" s="1159">
        <f t="shared" si="277"/>
        <v>2.7605378740799797</v>
      </c>
      <c r="EW85" s="1167">
        <f t="shared" si="278"/>
        <v>3</v>
      </c>
      <c r="EX85" s="1155">
        <f t="shared" si="279"/>
        <v>0.92017929135999321</v>
      </c>
    </row>
    <row r="86" spans="2:154">
      <c r="B86" s="1218" t="s">
        <v>1274</v>
      </c>
      <c r="C86" s="1219">
        <v>4</v>
      </c>
      <c r="D86" s="1230" t="s">
        <v>1269</v>
      </c>
      <c r="E86" s="1230" t="s">
        <v>1270</v>
      </c>
      <c r="F86" s="1231" t="s">
        <v>1271</v>
      </c>
      <c r="V86" s="1278">
        <v>65.900000000000006</v>
      </c>
      <c r="W86" s="1262">
        <v>1.9550000000000001</v>
      </c>
      <c r="X86" s="1283">
        <v>92.266666666666652</v>
      </c>
      <c r="Y86" s="1272">
        <v>899.13555483662219</v>
      </c>
      <c r="Z86" s="1255" t="s">
        <v>1058</v>
      </c>
      <c r="AA86" s="1277">
        <v>6.5141999999999998</v>
      </c>
      <c r="AB86" s="1261">
        <v>10</v>
      </c>
      <c r="AC86" s="1282">
        <v>1.3032070653829038</v>
      </c>
      <c r="AD86" s="1271" t="s">
        <v>1058</v>
      </c>
      <c r="AE86" s="1271" t="s">
        <v>1058</v>
      </c>
      <c r="AF86" s="1254">
        <v>55.876796536796554</v>
      </c>
      <c r="AG86" s="1282">
        <v>87.584000000000003</v>
      </c>
      <c r="AH86" s="1253">
        <v>4</v>
      </c>
      <c r="AI86" s="1253">
        <v>4</v>
      </c>
      <c r="AJ86" s="1253">
        <v>4</v>
      </c>
      <c r="AK86" s="1253">
        <v>1</v>
      </c>
      <c r="AL86" s="1253">
        <v>2</v>
      </c>
      <c r="AM86" s="1253">
        <v>2</v>
      </c>
      <c r="AN86" s="1253">
        <v>3</v>
      </c>
      <c r="AO86" s="1253">
        <v>2</v>
      </c>
      <c r="AP86" s="1253">
        <v>110</v>
      </c>
      <c r="AQ86" s="1253"/>
      <c r="AR86" s="1253">
        <v>2</v>
      </c>
      <c r="AS86" s="1253">
        <v>5</v>
      </c>
      <c r="AT86" s="1253">
        <v>2</v>
      </c>
      <c r="AU86" s="1253"/>
      <c r="AV86" s="1133">
        <f t="shared" si="182"/>
        <v>3.81</v>
      </c>
      <c r="AW86" s="1134">
        <f t="shared" si="183"/>
        <v>1.05</v>
      </c>
      <c r="AX86" s="1134">
        <f t="shared" si="184"/>
        <v>0.15</v>
      </c>
      <c r="AY86" s="1135">
        <f t="shared" si="185"/>
        <v>1.9550000000000001</v>
      </c>
      <c r="AZ86" s="1136">
        <f t="shared" si="186"/>
        <v>0.99381917254912988</v>
      </c>
      <c r="BA86" s="1137">
        <f t="shared" si="187"/>
        <v>0.89993809999999996</v>
      </c>
      <c r="BB86" s="956">
        <f t="shared" si="188"/>
        <v>1.1599999999999999</v>
      </c>
      <c r="BC86" s="1138">
        <f t="shared" si="189"/>
        <v>1</v>
      </c>
      <c r="BD86" s="1139">
        <f t="shared" si="190"/>
        <v>92.266666666666652</v>
      </c>
      <c r="BE86" s="1138">
        <f t="shared" si="191"/>
        <v>0.50560805905276152</v>
      </c>
      <c r="BF86" s="1140">
        <f t="shared" si="192"/>
        <v>1</v>
      </c>
      <c r="BG86" s="1137">
        <f t="shared" si="193"/>
        <v>0.03</v>
      </c>
      <c r="BH86" s="956">
        <f t="shared" si="194"/>
        <v>1</v>
      </c>
      <c r="BI86" s="956">
        <f t="shared" si="195"/>
        <v>1.08</v>
      </c>
      <c r="BJ86" s="956">
        <f t="shared" si="196"/>
        <v>0</v>
      </c>
      <c r="BK86" s="956">
        <f t="shared" si="197"/>
        <v>1.08</v>
      </c>
      <c r="BL86" s="956">
        <f t="shared" si="198"/>
        <v>0</v>
      </c>
      <c r="BM86" s="1141">
        <f t="shared" si="199"/>
        <v>899.13555483662219</v>
      </c>
      <c r="BN86" s="1142">
        <f t="shared" si="200"/>
        <v>0.99999999999091682</v>
      </c>
      <c r="BO86" s="1143">
        <f t="shared" si="201"/>
        <v>0.43227500000000002</v>
      </c>
      <c r="BP86" s="1144">
        <f t="shared" si="202"/>
        <v>0.9</v>
      </c>
      <c r="BQ86" s="1134">
        <f t="shared" si="203"/>
        <v>0.9</v>
      </c>
      <c r="BR86" s="1145" t="str">
        <f t="shared" si="204"/>
        <v>.</v>
      </c>
      <c r="BS86" s="1146" t="e">
        <f t="shared" si="205"/>
        <v>#VALUE!</v>
      </c>
      <c r="BT86" s="1147">
        <f>VLOOKUP(AP86,'CROP FACTORS'!$C$5:$N$130,7,FALSE)</f>
        <v>6</v>
      </c>
      <c r="BU86" s="1148">
        <f>VLOOKUP(AP86,'CROP FACTORS'!$C$5:$P$130,8,FALSE)</f>
        <v>1</v>
      </c>
      <c r="BV86" s="1149">
        <f t="shared" si="206"/>
        <v>6.5141999999999998</v>
      </c>
      <c r="BW86" s="1150">
        <f t="shared" si="207"/>
        <v>0.87616502595039314</v>
      </c>
      <c r="BX86" s="1137">
        <f>VLOOKUP(AP86,'CROP FACTORS'!$C$5:$N$130,10,FALSE)</f>
        <v>16</v>
      </c>
      <c r="BY86" s="1138">
        <f t="shared" si="208"/>
        <v>170.02558720000002</v>
      </c>
      <c r="BZ86" s="956">
        <f t="shared" si="209"/>
        <v>0.01</v>
      </c>
      <c r="CA86" s="956">
        <f t="shared" si="210"/>
        <v>1.01</v>
      </c>
      <c r="CB86" s="1148">
        <f t="shared" si="211"/>
        <v>173.38282743205761</v>
      </c>
      <c r="CC86" s="1148">
        <f t="shared" si="212"/>
        <v>173.44310150272003</v>
      </c>
      <c r="CD86" s="956">
        <f t="shared" si="213"/>
        <v>140</v>
      </c>
      <c r="CE86" s="956">
        <f t="shared" si="214"/>
        <v>90000</v>
      </c>
      <c r="CF86" s="956">
        <f t="shared" si="215"/>
        <v>1.4</v>
      </c>
      <c r="CG86" s="956">
        <f t="shared" si="216"/>
        <v>0.02</v>
      </c>
      <c r="CH86" s="956">
        <f t="shared" si="217"/>
        <v>128463.29999999999</v>
      </c>
      <c r="CI86" s="956">
        <f t="shared" si="218"/>
        <v>128519.99999999999</v>
      </c>
      <c r="CJ86" s="1138">
        <f t="shared" si="219"/>
        <v>1.25</v>
      </c>
      <c r="CK86" s="1138">
        <f t="shared" si="220"/>
        <v>2.1</v>
      </c>
      <c r="CL86" s="1138">
        <f t="shared" si="221"/>
        <v>1.25</v>
      </c>
      <c r="CM86" s="1138">
        <f t="shared" si="222"/>
        <v>1.25</v>
      </c>
      <c r="CN86" s="1151">
        <f t="shared" si="223"/>
        <v>10</v>
      </c>
      <c r="CO86" s="1138">
        <f t="shared" si="224"/>
        <v>0.92911920886395216</v>
      </c>
      <c r="CP86" s="1138">
        <f t="shared" si="225"/>
        <v>0.92909631529880021</v>
      </c>
      <c r="CQ86" s="1152">
        <f t="shared" si="226"/>
        <v>0.92911920886395216</v>
      </c>
      <c r="CR86" s="1153">
        <f t="shared" si="227"/>
        <v>0.92909631529880021</v>
      </c>
      <c r="CS86" s="1137">
        <f t="shared" si="228"/>
        <v>0.79600000000000004</v>
      </c>
      <c r="CT86" s="956">
        <f t="shared" si="229"/>
        <v>16.945</v>
      </c>
      <c r="CU86" s="956">
        <f t="shared" si="230"/>
        <v>-10.79</v>
      </c>
      <c r="CV86" s="956">
        <f t="shared" si="231"/>
        <v>0</v>
      </c>
      <c r="CW86" s="956">
        <f t="shared" si="232"/>
        <v>9.3587152000000007</v>
      </c>
      <c r="CX86" s="956">
        <f t="shared" si="233"/>
        <v>-10.275524000000001</v>
      </c>
      <c r="CY86" s="1154">
        <f t="shared" si="234"/>
        <v>1.3032070653829038</v>
      </c>
      <c r="CZ86" s="1155">
        <f t="shared" si="235"/>
        <v>0.56396553417700457</v>
      </c>
      <c r="DA86" s="1137" t="e">
        <f>MIN(VLOOKUP(AP86,'CROP FACTORS'!$C$5:$N$130,2,FALSE),VLOOKUP(AQ86,'CROP FACTORS'!$C$5:$N$130,2,FALSE))</f>
        <v>#N/A</v>
      </c>
      <c r="DB86" s="956" t="e">
        <f>MIN(VLOOKUP(AP86,'CROP FACTORS'!$C$5:$N$130,4,FALSE),VLOOKUP(AQ86,'CROP FACTORS'!$C$5:$N$130,4,FALSE))</f>
        <v>#N/A</v>
      </c>
      <c r="DC86" s="1156" t="e">
        <f t="shared" si="236"/>
        <v>#N/A</v>
      </c>
      <c r="DD86" s="1138">
        <f t="shared" si="237"/>
        <v>1.22</v>
      </c>
      <c r="DE86" s="1157" t="str">
        <f t="shared" si="238"/>
        <v>.</v>
      </c>
      <c r="DF86" s="1138" t="e">
        <f t="shared" si="239"/>
        <v>#N/A</v>
      </c>
      <c r="DG86" s="1158" t="e">
        <f t="shared" si="240"/>
        <v>#N/A</v>
      </c>
      <c r="DH86" s="1159" t="str">
        <f t="shared" si="241"/>
        <v>.</v>
      </c>
      <c r="DI86" s="1153" t="e">
        <f t="shared" si="242"/>
        <v>#VALUE!</v>
      </c>
      <c r="DJ86" s="1133">
        <f t="shared" si="243"/>
        <v>5.8</v>
      </c>
      <c r="DK86" s="1160">
        <f t="shared" si="244"/>
        <v>2.7</v>
      </c>
      <c r="DL86" s="1134">
        <f t="shared" si="245"/>
        <v>2.1</v>
      </c>
      <c r="DM86" s="1161">
        <f t="shared" si="246"/>
        <v>55.876796536796554</v>
      </c>
      <c r="DN86" s="1144">
        <f t="shared" si="247"/>
        <v>48.546000000000006</v>
      </c>
      <c r="DO86" s="1162">
        <f t="shared" si="248"/>
        <v>0.23978905197866404</v>
      </c>
      <c r="DP86" s="1163">
        <f t="shared" si="249"/>
        <v>0.23978905197866404</v>
      </c>
      <c r="DQ86" s="1133">
        <f t="shared" si="250"/>
        <v>1.0745</v>
      </c>
      <c r="DR86" s="1134">
        <f t="shared" si="251"/>
        <v>-1.3429999999999999E-2</v>
      </c>
      <c r="DS86" s="1164">
        <f t="shared" si="252"/>
        <v>87.584000000000003</v>
      </c>
      <c r="DT86" s="1146">
        <f t="shared" si="253"/>
        <v>0.7430895636884155</v>
      </c>
      <c r="DU86" s="1165">
        <f t="shared" si="254"/>
        <v>0.99381917254912988</v>
      </c>
      <c r="DV86" s="1166">
        <f t="shared" si="255"/>
        <v>1</v>
      </c>
      <c r="DW86" s="1166">
        <f t="shared" si="256"/>
        <v>0.99999999999091682</v>
      </c>
      <c r="DX86" s="1166"/>
      <c r="DY86" s="1166">
        <f t="shared" si="257"/>
        <v>0.87616502595039314</v>
      </c>
      <c r="DZ86" s="1166">
        <f t="shared" si="258"/>
        <v>0.92911920886395216</v>
      </c>
      <c r="EA86" s="1138"/>
      <c r="EB86" s="1166">
        <f t="shared" si="259"/>
        <v>0.56396553417700457</v>
      </c>
      <c r="EC86" s="1166"/>
      <c r="ED86" s="1138"/>
      <c r="EE86" s="1166">
        <f t="shared" si="260"/>
        <v>0.23978905197866404</v>
      </c>
      <c r="EF86" s="1140">
        <f t="shared" si="261"/>
        <v>0.7430895636884155</v>
      </c>
      <c r="EG86" s="1159">
        <f t="shared" si="262"/>
        <v>6.3459475571984756</v>
      </c>
      <c r="EH86" s="1167">
        <f t="shared" si="263"/>
        <v>8</v>
      </c>
      <c r="EI86" s="1302">
        <f t="shared" si="264"/>
        <v>0.79324344464980945</v>
      </c>
      <c r="EJ86" s="1168">
        <f t="shared" si="265"/>
        <v>1.5639655341770045</v>
      </c>
      <c r="EK86" s="1169">
        <f t="shared" si="266"/>
        <v>2</v>
      </c>
      <c r="EL86" s="1170">
        <f t="shared" si="267"/>
        <v>0.78198276708850223</v>
      </c>
      <c r="EM86" s="1159">
        <f t="shared" si="268"/>
        <v>0.87616502595039314</v>
      </c>
      <c r="EN86" s="1167">
        <f t="shared" si="269"/>
        <v>1</v>
      </c>
      <c r="EO86" s="1171">
        <f t="shared" si="270"/>
        <v>0.87616502595039314</v>
      </c>
      <c r="EP86" s="1168">
        <f t="shared" si="271"/>
        <v>2.2336082245187105</v>
      </c>
      <c r="EQ86" s="1169">
        <f t="shared" si="272"/>
        <v>3</v>
      </c>
      <c r="ER86" s="1146">
        <f t="shared" si="273"/>
        <v>0.74453607483957018</v>
      </c>
      <c r="ES86" s="1159">
        <f t="shared" si="274"/>
        <v>1.6722087725523678</v>
      </c>
      <c r="ET86" s="1167">
        <f t="shared" si="275"/>
        <v>2</v>
      </c>
      <c r="EU86" s="1155">
        <f t="shared" si="276"/>
        <v>0.83610438627618389</v>
      </c>
      <c r="EV86" s="1159">
        <f t="shared" si="277"/>
        <v>2.548373798502761</v>
      </c>
      <c r="EW86" s="1167">
        <f t="shared" si="278"/>
        <v>3</v>
      </c>
      <c r="EX86" s="1155">
        <f t="shared" si="279"/>
        <v>0.84945793283425364</v>
      </c>
    </row>
    <row r="87" spans="2:154">
      <c r="B87" s="1218" t="s">
        <v>1274</v>
      </c>
      <c r="C87" s="1219">
        <v>5</v>
      </c>
      <c r="D87" s="1230" t="s">
        <v>1269</v>
      </c>
      <c r="E87" s="1230" t="s">
        <v>1270</v>
      </c>
      <c r="F87" s="1231" t="s">
        <v>1271</v>
      </c>
      <c r="V87" s="1278">
        <v>60.9</v>
      </c>
      <c r="W87" s="1262">
        <v>2.0699999999999998</v>
      </c>
      <c r="X87" s="1283">
        <v>85.1</v>
      </c>
      <c r="Y87" s="1272">
        <v>839.19000819000826</v>
      </c>
      <c r="Z87" s="1255" t="s">
        <v>1058</v>
      </c>
      <c r="AA87" s="1277">
        <v>6.5141999999999998</v>
      </c>
      <c r="AB87" s="1261">
        <v>13.2</v>
      </c>
      <c r="AC87" s="1282">
        <v>1.3504111321948133</v>
      </c>
      <c r="AD87" s="1271" t="s">
        <v>1058</v>
      </c>
      <c r="AE87" s="1271" t="s">
        <v>1058</v>
      </c>
      <c r="AF87" s="1254">
        <v>47.648992451591738</v>
      </c>
      <c r="AG87" s="1282">
        <v>194.71800000000002</v>
      </c>
      <c r="AH87" s="1253">
        <v>4</v>
      </c>
      <c r="AI87" s="1253">
        <v>4</v>
      </c>
      <c r="AJ87" s="1253">
        <v>4</v>
      </c>
      <c r="AK87" s="1253">
        <v>1</v>
      </c>
      <c r="AL87" s="1253">
        <v>2</v>
      </c>
      <c r="AM87" s="1253">
        <v>2</v>
      </c>
      <c r="AN87" s="1253">
        <v>3</v>
      </c>
      <c r="AO87" s="1253">
        <v>2</v>
      </c>
      <c r="AP87" s="1253">
        <v>110</v>
      </c>
      <c r="AQ87" s="1253"/>
      <c r="AR87" s="1253">
        <v>2</v>
      </c>
      <c r="AS87" s="1253">
        <v>5</v>
      </c>
      <c r="AT87" s="1253">
        <v>2</v>
      </c>
      <c r="AU87" s="1253"/>
      <c r="AV87" s="1133">
        <f t="shared" si="182"/>
        <v>3.81</v>
      </c>
      <c r="AW87" s="1134">
        <f t="shared" si="183"/>
        <v>1.05</v>
      </c>
      <c r="AX87" s="1134">
        <f t="shared" si="184"/>
        <v>0.15</v>
      </c>
      <c r="AY87" s="1135">
        <f t="shared" si="185"/>
        <v>2.0699999999999998</v>
      </c>
      <c r="AZ87" s="1136">
        <f t="shared" si="186"/>
        <v>0.99634926461919493</v>
      </c>
      <c r="BA87" s="1137">
        <f t="shared" si="187"/>
        <v>0.89993809999999996</v>
      </c>
      <c r="BB87" s="956">
        <f t="shared" si="188"/>
        <v>1.1599999999999999</v>
      </c>
      <c r="BC87" s="1138">
        <f t="shared" si="189"/>
        <v>1</v>
      </c>
      <c r="BD87" s="1139">
        <f t="shared" si="190"/>
        <v>85.1</v>
      </c>
      <c r="BE87" s="1138">
        <f t="shared" si="191"/>
        <v>0.66718454022142126</v>
      </c>
      <c r="BF87" s="1140">
        <f t="shared" si="192"/>
        <v>1</v>
      </c>
      <c r="BG87" s="1137">
        <f t="shared" si="193"/>
        <v>0.03</v>
      </c>
      <c r="BH87" s="956">
        <f t="shared" si="194"/>
        <v>1</v>
      </c>
      <c r="BI87" s="956">
        <f t="shared" si="195"/>
        <v>1.08</v>
      </c>
      <c r="BJ87" s="956">
        <f t="shared" si="196"/>
        <v>0</v>
      </c>
      <c r="BK87" s="956">
        <f t="shared" si="197"/>
        <v>1.08</v>
      </c>
      <c r="BL87" s="956">
        <f t="shared" si="198"/>
        <v>0</v>
      </c>
      <c r="BM87" s="1141">
        <f t="shared" si="199"/>
        <v>839.19000819000826</v>
      </c>
      <c r="BN87" s="1142">
        <f t="shared" si="200"/>
        <v>0.99999999993665023</v>
      </c>
      <c r="BO87" s="1143">
        <f t="shared" si="201"/>
        <v>0.43227500000000002</v>
      </c>
      <c r="BP87" s="1144">
        <f t="shared" si="202"/>
        <v>0.9</v>
      </c>
      <c r="BQ87" s="1134">
        <f t="shared" si="203"/>
        <v>0.9</v>
      </c>
      <c r="BR87" s="1145" t="str">
        <f t="shared" si="204"/>
        <v>.</v>
      </c>
      <c r="BS87" s="1146" t="e">
        <f t="shared" si="205"/>
        <v>#VALUE!</v>
      </c>
      <c r="BT87" s="1147">
        <f>VLOOKUP(AP87,'CROP FACTORS'!$C$5:$N$130,7,FALSE)</f>
        <v>6</v>
      </c>
      <c r="BU87" s="1148">
        <f>VLOOKUP(AP87,'CROP FACTORS'!$C$5:$P$130,8,FALSE)</f>
        <v>1</v>
      </c>
      <c r="BV87" s="1149">
        <f t="shared" si="206"/>
        <v>6.5141999999999998</v>
      </c>
      <c r="BW87" s="1150">
        <f t="shared" si="207"/>
        <v>0.87616502595039314</v>
      </c>
      <c r="BX87" s="1137">
        <f>VLOOKUP(AP87,'CROP FACTORS'!$C$5:$N$130,10,FALSE)</f>
        <v>16</v>
      </c>
      <c r="BY87" s="1138">
        <f t="shared" si="208"/>
        <v>170.02558720000002</v>
      </c>
      <c r="BZ87" s="956">
        <f t="shared" si="209"/>
        <v>0.01</v>
      </c>
      <c r="CA87" s="956">
        <f t="shared" si="210"/>
        <v>1.01</v>
      </c>
      <c r="CB87" s="1148">
        <f t="shared" si="211"/>
        <v>173.58031215159042</v>
      </c>
      <c r="CC87" s="1148">
        <f t="shared" si="212"/>
        <v>173.44310150272003</v>
      </c>
      <c r="CD87" s="956">
        <f t="shared" si="213"/>
        <v>140</v>
      </c>
      <c r="CE87" s="956">
        <f t="shared" si="214"/>
        <v>90000</v>
      </c>
      <c r="CF87" s="956">
        <f t="shared" si="215"/>
        <v>1.4</v>
      </c>
      <c r="CG87" s="956">
        <f t="shared" si="216"/>
        <v>0.02</v>
      </c>
      <c r="CH87" s="956">
        <f t="shared" si="217"/>
        <v>128608.2</v>
      </c>
      <c r="CI87" s="956">
        <f t="shared" si="218"/>
        <v>128519.99999999999</v>
      </c>
      <c r="CJ87" s="1138">
        <f t="shared" si="219"/>
        <v>1.25</v>
      </c>
      <c r="CK87" s="1138">
        <f t="shared" si="220"/>
        <v>2.1</v>
      </c>
      <c r="CL87" s="1138">
        <f t="shared" si="221"/>
        <v>1.25</v>
      </c>
      <c r="CM87" s="1138">
        <f t="shared" si="222"/>
        <v>1.25</v>
      </c>
      <c r="CN87" s="1151">
        <f t="shared" si="223"/>
        <v>13.2</v>
      </c>
      <c r="CO87" s="1138">
        <f t="shared" si="224"/>
        <v>0.96837440186884993</v>
      </c>
      <c r="CP87" s="1138">
        <f t="shared" si="225"/>
        <v>0.9683986110515469</v>
      </c>
      <c r="CQ87" s="1152">
        <f t="shared" si="226"/>
        <v>0.96837440186884993</v>
      </c>
      <c r="CR87" s="1153">
        <f t="shared" si="227"/>
        <v>0.9683986110515469</v>
      </c>
      <c r="CS87" s="1137">
        <f t="shared" si="228"/>
        <v>0.79600000000000004</v>
      </c>
      <c r="CT87" s="956">
        <f t="shared" si="229"/>
        <v>16.945</v>
      </c>
      <c r="CU87" s="956">
        <f t="shared" si="230"/>
        <v>-10.79</v>
      </c>
      <c r="CV87" s="956">
        <f t="shared" si="231"/>
        <v>0</v>
      </c>
      <c r="CW87" s="956">
        <f t="shared" si="232"/>
        <v>9.3587152000000007</v>
      </c>
      <c r="CX87" s="956">
        <f t="shared" si="233"/>
        <v>-10.275524000000001</v>
      </c>
      <c r="CY87" s="1154">
        <f t="shared" si="234"/>
        <v>1.3504111321948133</v>
      </c>
      <c r="CZ87" s="1155">
        <f t="shared" si="235"/>
        <v>0.47473182947503478</v>
      </c>
      <c r="DA87" s="1137" t="e">
        <f>MIN(VLOOKUP(AP87,'CROP FACTORS'!$C$5:$N$130,2,FALSE),VLOOKUP(AQ87,'CROP FACTORS'!$C$5:$N$130,2,FALSE))</f>
        <v>#N/A</v>
      </c>
      <c r="DB87" s="956" t="e">
        <f>MIN(VLOOKUP(AP87,'CROP FACTORS'!$C$5:$N$130,4,FALSE),VLOOKUP(AQ87,'CROP FACTORS'!$C$5:$N$130,4,FALSE))</f>
        <v>#N/A</v>
      </c>
      <c r="DC87" s="1156" t="e">
        <f t="shared" si="236"/>
        <v>#N/A</v>
      </c>
      <c r="DD87" s="1138">
        <f t="shared" si="237"/>
        <v>1.22</v>
      </c>
      <c r="DE87" s="1157" t="str">
        <f t="shared" si="238"/>
        <v>.</v>
      </c>
      <c r="DF87" s="1138" t="e">
        <f t="shared" si="239"/>
        <v>#N/A</v>
      </c>
      <c r="DG87" s="1158" t="e">
        <f t="shared" si="240"/>
        <v>#N/A</v>
      </c>
      <c r="DH87" s="1159" t="str">
        <f t="shared" si="241"/>
        <v>.</v>
      </c>
      <c r="DI87" s="1153" t="e">
        <f t="shared" si="242"/>
        <v>#VALUE!</v>
      </c>
      <c r="DJ87" s="1133">
        <f t="shared" si="243"/>
        <v>5.8</v>
      </c>
      <c r="DK87" s="1160">
        <f t="shared" si="244"/>
        <v>2.7</v>
      </c>
      <c r="DL87" s="1134">
        <f t="shared" si="245"/>
        <v>2.1</v>
      </c>
      <c r="DM87" s="1161">
        <f t="shared" si="246"/>
        <v>47.648992451591738</v>
      </c>
      <c r="DN87" s="1144">
        <f t="shared" si="247"/>
        <v>48.546000000000006</v>
      </c>
      <c r="DO87" s="1162">
        <f t="shared" si="248"/>
        <v>0.17446734731282168</v>
      </c>
      <c r="DP87" s="1163">
        <f t="shared" si="249"/>
        <v>0.17446734731282168</v>
      </c>
      <c r="DQ87" s="1133">
        <f t="shared" si="250"/>
        <v>1.0745</v>
      </c>
      <c r="DR87" s="1134">
        <f t="shared" si="251"/>
        <v>-1.3429999999999999E-2</v>
      </c>
      <c r="DS87" s="1164">
        <f t="shared" si="252"/>
        <v>194.71800000000002</v>
      </c>
      <c r="DT87" s="1146">
        <f t="shared" si="253"/>
        <v>0.99588614343425541</v>
      </c>
      <c r="DU87" s="1165">
        <f t="shared" si="254"/>
        <v>0.99634926461919493</v>
      </c>
      <c r="DV87" s="1166">
        <f t="shared" si="255"/>
        <v>1</v>
      </c>
      <c r="DW87" s="1166">
        <f t="shared" si="256"/>
        <v>0.99999999993665023</v>
      </c>
      <c r="DX87" s="1166"/>
      <c r="DY87" s="1166">
        <f t="shared" si="257"/>
        <v>0.87616502595039314</v>
      </c>
      <c r="DZ87" s="1166">
        <f t="shared" si="258"/>
        <v>0.96837440186884993</v>
      </c>
      <c r="EA87" s="1138"/>
      <c r="EB87" s="1166">
        <f t="shared" si="259"/>
        <v>0.47473182947503478</v>
      </c>
      <c r="EC87" s="1166"/>
      <c r="ED87" s="1138"/>
      <c r="EE87" s="1166">
        <f t="shared" si="260"/>
        <v>0.17446734731282168</v>
      </c>
      <c r="EF87" s="1140">
        <f t="shared" si="261"/>
        <v>0.99588614343425541</v>
      </c>
      <c r="EG87" s="1159">
        <f t="shared" si="262"/>
        <v>6.4859740125972003</v>
      </c>
      <c r="EH87" s="1167">
        <f t="shared" si="263"/>
        <v>8</v>
      </c>
      <c r="EI87" s="1302">
        <f t="shared" si="264"/>
        <v>0.81074675157465004</v>
      </c>
      <c r="EJ87" s="1168">
        <f t="shared" si="265"/>
        <v>1.4747318294750347</v>
      </c>
      <c r="EK87" s="1169">
        <f t="shared" si="266"/>
        <v>2</v>
      </c>
      <c r="EL87" s="1170">
        <f t="shared" si="267"/>
        <v>0.73736591473751734</v>
      </c>
      <c r="EM87" s="1159">
        <f t="shared" si="268"/>
        <v>0.87616502595039314</v>
      </c>
      <c r="EN87" s="1167">
        <f t="shared" si="269"/>
        <v>1</v>
      </c>
      <c r="EO87" s="1171">
        <f t="shared" si="270"/>
        <v>0.87616502595039314</v>
      </c>
      <c r="EP87" s="1168">
        <f t="shared" si="271"/>
        <v>2.1708166118686667</v>
      </c>
      <c r="EQ87" s="1169">
        <f t="shared" si="272"/>
        <v>3</v>
      </c>
      <c r="ER87" s="1146">
        <f t="shared" si="273"/>
        <v>0.72360553728955557</v>
      </c>
      <c r="ES87" s="1159">
        <f t="shared" si="274"/>
        <v>1.9642605453031052</v>
      </c>
      <c r="ET87" s="1167">
        <f t="shared" si="275"/>
        <v>2</v>
      </c>
      <c r="EU87" s="1155">
        <f t="shared" si="276"/>
        <v>0.98213027265155262</v>
      </c>
      <c r="EV87" s="1159">
        <f t="shared" si="277"/>
        <v>2.8404255712534985</v>
      </c>
      <c r="EW87" s="1167">
        <f t="shared" si="278"/>
        <v>3</v>
      </c>
      <c r="EX87" s="1155">
        <f t="shared" si="279"/>
        <v>0.9468085237511662</v>
      </c>
    </row>
    <row r="88" spans="2:154">
      <c r="B88" s="1218" t="s">
        <v>1274</v>
      </c>
      <c r="C88" s="1219">
        <v>6</v>
      </c>
      <c r="D88" s="1230" t="s">
        <v>1269</v>
      </c>
      <c r="E88" s="1230" t="s">
        <v>1270</v>
      </c>
      <c r="F88" s="1231" t="s">
        <v>1271</v>
      </c>
      <c r="V88" s="1278">
        <v>66.2</v>
      </c>
      <c r="W88" s="1262">
        <v>2.17</v>
      </c>
      <c r="X88" s="1283">
        <v>92.5</v>
      </c>
      <c r="Y88" s="1272">
        <v>648.38942617666078</v>
      </c>
      <c r="Z88" s="1255" t="s">
        <v>1058</v>
      </c>
      <c r="AA88" s="1277">
        <v>6.3298000000000005</v>
      </c>
      <c r="AB88" s="1261">
        <v>8</v>
      </c>
      <c r="AC88" s="1282">
        <v>1.2029423477873824</v>
      </c>
      <c r="AD88" s="1271" t="s">
        <v>1058</v>
      </c>
      <c r="AE88" s="1271" t="s">
        <v>1058</v>
      </c>
      <c r="AF88" s="1254">
        <v>48.944754955039777</v>
      </c>
      <c r="AG88" s="1282">
        <v>80.155000000000001</v>
      </c>
      <c r="AH88" s="1253">
        <v>4</v>
      </c>
      <c r="AI88" s="1253">
        <v>4</v>
      </c>
      <c r="AJ88" s="1253">
        <v>4</v>
      </c>
      <c r="AK88" s="1253">
        <v>1</v>
      </c>
      <c r="AL88" s="1253">
        <v>2</v>
      </c>
      <c r="AM88" s="1253">
        <v>2</v>
      </c>
      <c r="AN88" s="1253">
        <v>3</v>
      </c>
      <c r="AO88" s="1253">
        <v>2</v>
      </c>
      <c r="AP88" s="1253">
        <v>110</v>
      </c>
      <c r="AQ88" s="1253"/>
      <c r="AR88" s="1253">
        <v>2</v>
      </c>
      <c r="AS88" s="1253">
        <v>5</v>
      </c>
      <c r="AT88" s="1253">
        <v>2</v>
      </c>
      <c r="AU88" s="1253"/>
      <c r="AV88" s="1133">
        <f t="shared" si="182"/>
        <v>3.81</v>
      </c>
      <c r="AW88" s="1134">
        <f t="shared" si="183"/>
        <v>1.05</v>
      </c>
      <c r="AX88" s="1134">
        <f t="shared" si="184"/>
        <v>0.15</v>
      </c>
      <c r="AY88" s="1135">
        <f t="shared" si="185"/>
        <v>2.17</v>
      </c>
      <c r="AZ88" s="1136">
        <f t="shared" si="186"/>
        <v>0.99769237640832897</v>
      </c>
      <c r="BA88" s="1137">
        <f t="shared" si="187"/>
        <v>0.89993809999999996</v>
      </c>
      <c r="BB88" s="956">
        <f t="shared" si="188"/>
        <v>1.1599999999999999</v>
      </c>
      <c r="BC88" s="1138">
        <f t="shared" si="189"/>
        <v>1</v>
      </c>
      <c r="BD88" s="1139">
        <f t="shared" si="190"/>
        <v>92.5</v>
      </c>
      <c r="BE88" s="1138">
        <f t="shared" si="191"/>
        <v>0.49989872881177144</v>
      </c>
      <c r="BF88" s="1140">
        <f t="shared" si="192"/>
        <v>1</v>
      </c>
      <c r="BG88" s="1137">
        <f t="shared" si="193"/>
        <v>0.03</v>
      </c>
      <c r="BH88" s="956">
        <f t="shared" si="194"/>
        <v>1</v>
      </c>
      <c r="BI88" s="956">
        <f t="shared" si="195"/>
        <v>1.08</v>
      </c>
      <c r="BJ88" s="956">
        <f t="shared" si="196"/>
        <v>0</v>
      </c>
      <c r="BK88" s="956">
        <f t="shared" si="197"/>
        <v>1.08</v>
      </c>
      <c r="BL88" s="956">
        <f t="shared" si="198"/>
        <v>0</v>
      </c>
      <c r="BM88" s="1141">
        <f t="shared" si="199"/>
        <v>648.38942617666078</v>
      </c>
      <c r="BN88" s="1142">
        <f t="shared" si="200"/>
        <v>0.99999996934317981</v>
      </c>
      <c r="BO88" s="1143">
        <f t="shared" si="201"/>
        <v>0.43227500000000002</v>
      </c>
      <c r="BP88" s="1144">
        <f t="shared" si="202"/>
        <v>0.9</v>
      </c>
      <c r="BQ88" s="1134">
        <f t="shared" si="203"/>
        <v>0.9</v>
      </c>
      <c r="BR88" s="1145" t="str">
        <f t="shared" si="204"/>
        <v>.</v>
      </c>
      <c r="BS88" s="1146" t="e">
        <f t="shared" si="205"/>
        <v>#VALUE!</v>
      </c>
      <c r="BT88" s="1147">
        <f>VLOOKUP(AP88,'CROP FACTORS'!$C$5:$N$130,7,FALSE)</f>
        <v>6</v>
      </c>
      <c r="BU88" s="1148">
        <f>VLOOKUP(AP88,'CROP FACTORS'!$C$5:$P$130,8,FALSE)</f>
        <v>1</v>
      </c>
      <c r="BV88" s="1149">
        <f t="shared" si="206"/>
        <v>6.3298000000000005</v>
      </c>
      <c r="BW88" s="1150">
        <f t="shared" si="207"/>
        <v>0.94706834347486846</v>
      </c>
      <c r="BX88" s="1137">
        <f>VLOOKUP(AP88,'CROP FACTORS'!$C$5:$N$130,10,FALSE)</f>
        <v>16</v>
      </c>
      <c r="BY88" s="1138">
        <f t="shared" si="208"/>
        <v>170.02558720000002</v>
      </c>
      <c r="BZ88" s="956">
        <f t="shared" si="209"/>
        <v>0.01</v>
      </c>
      <c r="CA88" s="956">
        <f t="shared" si="210"/>
        <v>1.01</v>
      </c>
      <c r="CB88" s="1148">
        <f t="shared" si="211"/>
        <v>173.75203799466243</v>
      </c>
      <c r="CC88" s="1148">
        <f t="shared" si="212"/>
        <v>173.44310150272003</v>
      </c>
      <c r="CD88" s="956">
        <f t="shared" si="213"/>
        <v>140</v>
      </c>
      <c r="CE88" s="956">
        <f t="shared" si="214"/>
        <v>90000</v>
      </c>
      <c r="CF88" s="956">
        <f t="shared" si="215"/>
        <v>1.4</v>
      </c>
      <c r="CG88" s="956">
        <f t="shared" si="216"/>
        <v>0.02</v>
      </c>
      <c r="CH88" s="956">
        <f t="shared" si="217"/>
        <v>128734.2</v>
      </c>
      <c r="CI88" s="956">
        <f t="shared" si="218"/>
        <v>128519.99999999999</v>
      </c>
      <c r="CJ88" s="1138">
        <f t="shared" si="219"/>
        <v>1.25</v>
      </c>
      <c r="CK88" s="1138">
        <f t="shared" si="220"/>
        <v>2.1</v>
      </c>
      <c r="CL88" s="1138">
        <f t="shared" si="221"/>
        <v>1.25</v>
      </c>
      <c r="CM88" s="1138">
        <f t="shared" si="222"/>
        <v>1.25</v>
      </c>
      <c r="CN88" s="1151">
        <f t="shared" si="223"/>
        <v>8</v>
      </c>
      <c r="CO88" s="1138">
        <f t="shared" si="224"/>
        <v>0.86856064232666819</v>
      </c>
      <c r="CP88" s="1138">
        <f t="shared" si="225"/>
        <v>0.86876367492772366</v>
      </c>
      <c r="CQ88" s="1152">
        <f t="shared" si="226"/>
        <v>0.86856064232666819</v>
      </c>
      <c r="CR88" s="1153">
        <f t="shared" si="227"/>
        <v>0.86876367492772366</v>
      </c>
      <c r="CS88" s="1137">
        <f t="shared" si="228"/>
        <v>0.79600000000000004</v>
      </c>
      <c r="CT88" s="956">
        <f t="shared" si="229"/>
        <v>16.945</v>
      </c>
      <c r="CU88" s="956">
        <f t="shared" si="230"/>
        <v>-10.79</v>
      </c>
      <c r="CV88" s="956">
        <f t="shared" si="231"/>
        <v>0</v>
      </c>
      <c r="CW88" s="956">
        <f t="shared" si="232"/>
        <v>9.3587152000000007</v>
      </c>
      <c r="CX88" s="956">
        <f t="shared" si="233"/>
        <v>-10.275524000000001</v>
      </c>
      <c r="CY88" s="1154">
        <f t="shared" si="234"/>
        <v>1.2029423477873824</v>
      </c>
      <c r="CZ88" s="1155">
        <f t="shared" si="235"/>
        <v>0.79804453505420714</v>
      </c>
      <c r="DA88" s="1137" t="e">
        <f>MIN(VLOOKUP(AP88,'CROP FACTORS'!$C$5:$N$130,2,FALSE),VLOOKUP(AQ88,'CROP FACTORS'!$C$5:$N$130,2,FALSE))</f>
        <v>#N/A</v>
      </c>
      <c r="DB88" s="956" t="e">
        <f>MIN(VLOOKUP(AP88,'CROP FACTORS'!$C$5:$N$130,4,FALSE),VLOOKUP(AQ88,'CROP FACTORS'!$C$5:$N$130,4,FALSE))</f>
        <v>#N/A</v>
      </c>
      <c r="DC88" s="1156" t="e">
        <f t="shared" si="236"/>
        <v>#N/A</v>
      </c>
      <c r="DD88" s="1138">
        <f t="shared" si="237"/>
        <v>1.22</v>
      </c>
      <c r="DE88" s="1157" t="str">
        <f t="shared" si="238"/>
        <v>.</v>
      </c>
      <c r="DF88" s="1138" t="e">
        <f t="shared" si="239"/>
        <v>#N/A</v>
      </c>
      <c r="DG88" s="1158" t="e">
        <f t="shared" si="240"/>
        <v>#N/A</v>
      </c>
      <c r="DH88" s="1159" t="str">
        <f t="shared" si="241"/>
        <v>.</v>
      </c>
      <c r="DI88" s="1153" t="e">
        <f t="shared" si="242"/>
        <v>#VALUE!</v>
      </c>
      <c r="DJ88" s="1133">
        <f t="shared" si="243"/>
        <v>5.8</v>
      </c>
      <c r="DK88" s="1160">
        <f t="shared" si="244"/>
        <v>2.7</v>
      </c>
      <c r="DL88" s="1134">
        <f t="shared" si="245"/>
        <v>2.1</v>
      </c>
      <c r="DM88" s="1161">
        <f t="shared" si="246"/>
        <v>48.944754955039777</v>
      </c>
      <c r="DN88" s="1144">
        <f t="shared" si="247"/>
        <v>48.546000000000006</v>
      </c>
      <c r="DO88" s="1162">
        <f t="shared" si="248"/>
        <v>0.18373399345106473</v>
      </c>
      <c r="DP88" s="1163">
        <f t="shared" si="249"/>
        <v>0.18373399345106473</v>
      </c>
      <c r="DQ88" s="1133">
        <f t="shared" si="250"/>
        <v>1.0745</v>
      </c>
      <c r="DR88" s="1134">
        <f t="shared" si="251"/>
        <v>-1.3429999999999999E-2</v>
      </c>
      <c r="DS88" s="1164">
        <f t="shared" si="252"/>
        <v>80.155000000000001</v>
      </c>
      <c r="DT88" s="1146">
        <f t="shared" si="253"/>
        <v>0.70831851685883573</v>
      </c>
      <c r="DU88" s="1165">
        <f t="shared" si="254"/>
        <v>0.99769237640832897</v>
      </c>
      <c r="DV88" s="1166">
        <f t="shared" si="255"/>
        <v>1</v>
      </c>
      <c r="DW88" s="1166">
        <f t="shared" si="256"/>
        <v>0.99999996934317981</v>
      </c>
      <c r="DX88" s="1166"/>
      <c r="DY88" s="1166">
        <f t="shared" si="257"/>
        <v>0.94706834347486846</v>
      </c>
      <c r="DZ88" s="1166">
        <f t="shared" si="258"/>
        <v>0.86856064232666819</v>
      </c>
      <c r="EA88" s="1138"/>
      <c r="EB88" s="1166">
        <f t="shared" si="259"/>
        <v>0.79804453505420714</v>
      </c>
      <c r="EC88" s="1166"/>
      <c r="ED88" s="1138"/>
      <c r="EE88" s="1166">
        <f t="shared" si="260"/>
        <v>0.18373399345106473</v>
      </c>
      <c r="EF88" s="1140">
        <f t="shared" si="261"/>
        <v>0.70831851685883573</v>
      </c>
      <c r="EG88" s="1159">
        <f t="shared" si="262"/>
        <v>6.5034183769171534</v>
      </c>
      <c r="EH88" s="1167">
        <f t="shared" si="263"/>
        <v>8</v>
      </c>
      <c r="EI88" s="1302">
        <f t="shared" si="264"/>
        <v>0.81292729711464418</v>
      </c>
      <c r="EJ88" s="1168">
        <f t="shared" si="265"/>
        <v>1.7980445350542071</v>
      </c>
      <c r="EK88" s="1169">
        <f t="shared" si="266"/>
        <v>2</v>
      </c>
      <c r="EL88" s="1170">
        <f t="shared" si="267"/>
        <v>0.89902226752710357</v>
      </c>
      <c r="EM88" s="1159">
        <f t="shared" si="268"/>
        <v>0.94706834347486846</v>
      </c>
      <c r="EN88" s="1167">
        <f t="shared" si="269"/>
        <v>1</v>
      </c>
      <c r="EO88" s="1171">
        <f t="shared" si="270"/>
        <v>0.94706834347486846</v>
      </c>
      <c r="EP88" s="1168">
        <f t="shared" si="271"/>
        <v>2.1814263392025737</v>
      </c>
      <c r="EQ88" s="1169">
        <f t="shared" si="272"/>
        <v>3</v>
      </c>
      <c r="ER88" s="1146">
        <f t="shared" si="273"/>
        <v>0.72714211306752452</v>
      </c>
      <c r="ES88" s="1159">
        <f t="shared" si="274"/>
        <v>1.5768791591855038</v>
      </c>
      <c r="ET88" s="1167">
        <f t="shared" si="275"/>
        <v>2</v>
      </c>
      <c r="EU88" s="1155">
        <f t="shared" si="276"/>
        <v>0.7884395795927519</v>
      </c>
      <c r="EV88" s="1159">
        <f t="shared" si="277"/>
        <v>2.5239475026603722</v>
      </c>
      <c r="EW88" s="1167">
        <f t="shared" si="278"/>
        <v>3</v>
      </c>
      <c r="EX88" s="1155">
        <f t="shared" si="279"/>
        <v>0.84131583422012401</v>
      </c>
    </row>
    <row r="89" spans="2:154">
      <c r="B89" s="1218" t="s">
        <v>1274</v>
      </c>
      <c r="C89" s="1219">
        <v>7</v>
      </c>
      <c r="D89" s="1230" t="s">
        <v>1269</v>
      </c>
      <c r="E89" s="1230" t="s">
        <v>1270</v>
      </c>
      <c r="F89" s="1231" t="s">
        <v>1271</v>
      </c>
      <c r="V89" s="1278">
        <v>66.3</v>
      </c>
      <c r="W89" s="1262">
        <v>1.59</v>
      </c>
      <c r="X89" s="1283">
        <v>49.959999999999994</v>
      </c>
      <c r="Y89" s="1272">
        <v>851.95670995671048</v>
      </c>
      <c r="Z89" s="1255" t="s">
        <v>1058</v>
      </c>
      <c r="AA89" s="1277">
        <v>6.4219999999999997</v>
      </c>
      <c r="AB89" s="1261">
        <v>10.6</v>
      </c>
      <c r="AC89" s="1282">
        <v>1.2468667275751399</v>
      </c>
      <c r="AD89" s="1271" t="s">
        <v>1058</v>
      </c>
      <c r="AE89" s="1271" t="s">
        <v>1058</v>
      </c>
      <c r="AF89" s="1254">
        <v>36.022853855005756</v>
      </c>
      <c r="AG89" s="1282">
        <v>100.48699999999999</v>
      </c>
      <c r="AH89" s="1253">
        <v>4</v>
      </c>
      <c r="AI89" s="1253">
        <v>4</v>
      </c>
      <c r="AJ89" s="1253">
        <v>4</v>
      </c>
      <c r="AK89" s="1253">
        <v>1</v>
      </c>
      <c r="AL89" s="1253">
        <v>2</v>
      </c>
      <c r="AM89" s="1253">
        <v>2</v>
      </c>
      <c r="AN89" s="1253">
        <v>3</v>
      </c>
      <c r="AO89" s="1253">
        <v>2</v>
      </c>
      <c r="AP89" s="1253">
        <v>110</v>
      </c>
      <c r="AQ89" s="1253"/>
      <c r="AR89" s="1253">
        <v>2</v>
      </c>
      <c r="AS89" s="1253">
        <v>5</v>
      </c>
      <c r="AT89" s="1253">
        <v>2</v>
      </c>
      <c r="AU89" s="1253"/>
      <c r="AV89" s="1133">
        <f t="shared" si="182"/>
        <v>3.81</v>
      </c>
      <c r="AW89" s="1134">
        <f t="shared" si="183"/>
        <v>1.05</v>
      </c>
      <c r="AX89" s="1134">
        <f t="shared" si="184"/>
        <v>0.15</v>
      </c>
      <c r="AY89" s="1135">
        <f t="shared" si="185"/>
        <v>1.59</v>
      </c>
      <c r="AZ89" s="1136">
        <f t="shared" si="186"/>
        <v>0.96773243965587796</v>
      </c>
      <c r="BA89" s="1137">
        <f t="shared" si="187"/>
        <v>0.89993809999999996</v>
      </c>
      <c r="BB89" s="956">
        <f t="shared" si="188"/>
        <v>1.1599999999999999</v>
      </c>
      <c r="BC89" s="1138">
        <f t="shared" si="189"/>
        <v>1</v>
      </c>
      <c r="BD89" s="1139">
        <f t="shared" si="190"/>
        <v>49.959999999999994</v>
      </c>
      <c r="BE89" s="1138">
        <f t="shared" si="191"/>
        <v>1.0025338787513305</v>
      </c>
      <c r="BF89" s="1140">
        <f t="shared" si="192"/>
        <v>1.0025338787513305</v>
      </c>
      <c r="BG89" s="1137">
        <f t="shared" si="193"/>
        <v>0.03</v>
      </c>
      <c r="BH89" s="956">
        <f t="shared" si="194"/>
        <v>1</v>
      </c>
      <c r="BI89" s="956">
        <f t="shared" si="195"/>
        <v>1.08</v>
      </c>
      <c r="BJ89" s="956">
        <f t="shared" si="196"/>
        <v>0</v>
      </c>
      <c r="BK89" s="956">
        <f t="shared" si="197"/>
        <v>1.08</v>
      </c>
      <c r="BL89" s="956">
        <f t="shared" si="198"/>
        <v>0</v>
      </c>
      <c r="BM89" s="1141">
        <f t="shared" si="199"/>
        <v>851.95670995671048</v>
      </c>
      <c r="BN89" s="1142">
        <f t="shared" si="200"/>
        <v>0.99999999995811062</v>
      </c>
      <c r="BO89" s="1143">
        <f t="shared" si="201"/>
        <v>0.43227500000000002</v>
      </c>
      <c r="BP89" s="1144">
        <f t="shared" si="202"/>
        <v>0.9</v>
      </c>
      <c r="BQ89" s="1134">
        <f t="shared" si="203"/>
        <v>0.9</v>
      </c>
      <c r="BR89" s="1145" t="str">
        <f t="shared" si="204"/>
        <v>.</v>
      </c>
      <c r="BS89" s="1146" t="e">
        <f t="shared" si="205"/>
        <v>#VALUE!</v>
      </c>
      <c r="BT89" s="1147">
        <f>VLOOKUP(AP89,'CROP FACTORS'!$C$5:$N$130,7,FALSE)</f>
        <v>6</v>
      </c>
      <c r="BU89" s="1148">
        <f>VLOOKUP(AP89,'CROP FACTORS'!$C$5:$P$130,8,FALSE)</f>
        <v>1</v>
      </c>
      <c r="BV89" s="1149">
        <f t="shared" si="206"/>
        <v>6.4219999999999997</v>
      </c>
      <c r="BW89" s="1150">
        <f t="shared" si="207"/>
        <v>0.91480715086724451</v>
      </c>
      <c r="BX89" s="1137">
        <f>VLOOKUP(AP89,'CROP FACTORS'!$C$5:$N$130,10,FALSE)</f>
        <v>16</v>
      </c>
      <c r="BY89" s="1138">
        <f t="shared" si="208"/>
        <v>170.02558720000002</v>
      </c>
      <c r="BZ89" s="956">
        <f t="shared" si="209"/>
        <v>0.01</v>
      </c>
      <c r="CA89" s="956">
        <f t="shared" si="210"/>
        <v>1.01</v>
      </c>
      <c r="CB89" s="1148">
        <f t="shared" si="211"/>
        <v>172.75602810484483</v>
      </c>
      <c r="CC89" s="1148">
        <f t="shared" si="212"/>
        <v>173.44310150272003</v>
      </c>
      <c r="CD89" s="956">
        <f t="shared" si="213"/>
        <v>140</v>
      </c>
      <c r="CE89" s="956">
        <f t="shared" si="214"/>
        <v>90000</v>
      </c>
      <c r="CF89" s="956">
        <f t="shared" si="215"/>
        <v>1.4</v>
      </c>
      <c r="CG89" s="956">
        <f t="shared" si="216"/>
        <v>0.02</v>
      </c>
      <c r="CH89" s="956">
        <f t="shared" si="217"/>
        <v>128003.4</v>
      </c>
      <c r="CI89" s="956">
        <f t="shared" si="218"/>
        <v>128519.99999999999</v>
      </c>
      <c r="CJ89" s="1138">
        <f t="shared" si="219"/>
        <v>1.25</v>
      </c>
      <c r="CK89" s="1138">
        <f t="shared" si="220"/>
        <v>2.1</v>
      </c>
      <c r="CL89" s="1138">
        <f t="shared" si="221"/>
        <v>1.25</v>
      </c>
      <c r="CM89" s="1138">
        <f t="shared" si="222"/>
        <v>1.25</v>
      </c>
      <c r="CN89" s="1151">
        <f t="shared" si="223"/>
        <v>10.6</v>
      </c>
      <c r="CO89" s="1138">
        <f t="shared" si="224"/>
        <v>0.94020421857735903</v>
      </c>
      <c r="CP89" s="1138">
        <f t="shared" si="225"/>
        <v>0.93998067657418582</v>
      </c>
      <c r="CQ89" s="1152">
        <f t="shared" si="226"/>
        <v>0.94020421857735903</v>
      </c>
      <c r="CR89" s="1153">
        <f t="shared" si="227"/>
        <v>0.93998067657418582</v>
      </c>
      <c r="CS89" s="1137">
        <f t="shared" si="228"/>
        <v>0.79600000000000004</v>
      </c>
      <c r="CT89" s="956">
        <f t="shared" si="229"/>
        <v>16.945</v>
      </c>
      <c r="CU89" s="956">
        <f t="shared" si="230"/>
        <v>-10.79</v>
      </c>
      <c r="CV89" s="956">
        <f t="shared" si="231"/>
        <v>0</v>
      </c>
      <c r="CW89" s="956">
        <f t="shared" si="232"/>
        <v>9.3587152000000007</v>
      </c>
      <c r="CX89" s="956">
        <f t="shared" si="233"/>
        <v>-10.275524000000001</v>
      </c>
      <c r="CY89" s="1154">
        <f t="shared" si="234"/>
        <v>1.2468667275751399</v>
      </c>
      <c r="CZ89" s="1155">
        <f t="shared" si="235"/>
        <v>0.69214437150371011</v>
      </c>
      <c r="DA89" s="1137" t="e">
        <f>MIN(VLOOKUP(AP89,'CROP FACTORS'!$C$5:$N$130,2,FALSE),VLOOKUP(AQ89,'CROP FACTORS'!$C$5:$N$130,2,FALSE))</f>
        <v>#N/A</v>
      </c>
      <c r="DB89" s="956" t="e">
        <f>MIN(VLOOKUP(AP89,'CROP FACTORS'!$C$5:$N$130,4,FALSE),VLOOKUP(AQ89,'CROP FACTORS'!$C$5:$N$130,4,FALSE))</f>
        <v>#N/A</v>
      </c>
      <c r="DC89" s="1156" t="e">
        <f t="shared" si="236"/>
        <v>#N/A</v>
      </c>
      <c r="DD89" s="1138">
        <f t="shared" si="237"/>
        <v>1.22</v>
      </c>
      <c r="DE89" s="1157" t="str">
        <f t="shared" si="238"/>
        <v>.</v>
      </c>
      <c r="DF89" s="1138" t="e">
        <f t="shared" si="239"/>
        <v>#N/A</v>
      </c>
      <c r="DG89" s="1158" t="e">
        <f t="shared" si="240"/>
        <v>#N/A</v>
      </c>
      <c r="DH89" s="1159" t="str">
        <f t="shared" si="241"/>
        <v>.</v>
      </c>
      <c r="DI89" s="1153" t="e">
        <f t="shared" si="242"/>
        <v>#VALUE!</v>
      </c>
      <c r="DJ89" s="1133">
        <f t="shared" si="243"/>
        <v>5.8</v>
      </c>
      <c r="DK89" s="1160">
        <f t="shared" si="244"/>
        <v>2.7</v>
      </c>
      <c r="DL89" s="1134">
        <f t="shared" si="245"/>
        <v>2.1</v>
      </c>
      <c r="DM89" s="1161">
        <f t="shared" si="246"/>
        <v>36.022853855005756</v>
      </c>
      <c r="DN89" s="1144">
        <f t="shared" si="247"/>
        <v>48.546000000000006</v>
      </c>
      <c r="DO89" s="1162">
        <f t="shared" si="248"/>
        <v>0.10720675044335523</v>
      </c>
      <c r="DP89" s="1163">
        <f t="shared" si="249"/>
        <v>0.10720675044335523</v>
      </c>
      <c r="DQ89" s="1133">
        <f t="shared" si="250"/>
        <v>1.0745</v>
      </c>
      <c r="DR89" s="1134">
        <f t="shared" si="251"/>
        <v>-1.3429999999999999E-2</v>
      </c>
      <c r="DS89" s="1164">
        <f t="shared" si="252"/>
        <v>100.48699999999999</v>
      </c>
      <c r="DT89" s="1146">
        <f t="shared" si="253"/>
        <v>0.79581829003638793</v>
      </c>
      <c r="DU89" s="1165">
        <f t="shared" si="254"/>
        <v>0.96773243965587796</v>
      </c>
      <c r="DV89" s="1166">
        <f t="shared" si="255"/>
        <v>1.0025338787513305</v>
      </c>
      <c r="DW89" s="1166">
        <f t="shared" si="256"/>
        <v>0.99999999995811062</v>
      </c>
      <c r="DX89" s="1166"/>
      <c r="DY89" s="1166">
        <f t="shared" si="257"/>
        <v>0.91480715086724451</v>
      </c>
      <c r="DZ89" s="1166">
        <f t="shared" si="258"/>
        <v>0.94020421857735903</v>
      </c>
      <c r="EA89" s="1138"/>
      <c r="EB89" s="1166">
        <f t="shared" si="259"/>
        <v>0.69214437150371011</v>
      </c>
      <c r="EC89" s="1166"/>
      <c r="ED89" s="1138"/>
      <c r="EE89" s="1166">
        <f t="shared" si="260"/>
        <v>0.10720675044335523</v>
      </c>
      <c r="EF89" s="1140">
        <f t="shared" si="261"/>
        <v>0.79581829003638793</v>
      </c>
      <c r="EG89" s="1159">
        <f t="shared" si="262"/>
        <v>6.4204470997933765</v>
      </c>
      <c r="EH89" s="1167">
        <f t="shared" si="263"/>
        <v>8</v>
      </c>
      <c r="EI89" s="1302">
        <f t="shared" si="264"/>
        <v>0.80255588747417206</v>
      </c>
      <c r="EJ89" s="1168">
        <f t="shared" si="265"/>
        <v>1.6946782502550406</v>
      </c>
      <c r="EK89" s="1169">
        <f t="shared" si="266"/>
        <v>2</v>
      </c>
      <c r="EL89" s="1170">
        <f t="shared" si="267"/>
        <v>0.8473391251275203</v>
      </c>
      <c r="EM89" s="1159">
        <f t="shared" si="268"/>
        <v>0.91480715086724451</v>
      </c>
      <c r="EN89" s="1167">
        <f t="shared" si="269"/>
        <v>1</v>
      </c>
      <c r="EO89" s="1171">
        <f t="shared" si="270"/>
        <v>0.91480715086724451</v>
      </c>
      <c r="EP89" s="1168">
        <f t="shared" si="271"/>
        <v>2.0749391900573437</v>
      </c>
      <c r="EQ89" s="1169">
        <f t="shared" si="272"/>
        <v>3</v>
      </c>
      <c r="ER89" s="1146">
        <f t="shared" si="273"/>
        <v>0.69164639668578121</v>
      </c>
      <c r="ES89" s="1159">
        <f t="shared" si="274"/>
        <v>1.7360225086137469</v>
      </c>
      <c r="ET89" s="1167">
        <f t="shared" si="275"/>
        <v>2</v>
      </c>
      <c r="EU89" s="1155">
        <f t="shared" si="276"/>
        <v>0.86801125430687343</v>
      </c>
      <c r="EV89" s="1159">
        <f t="shared" si="277"/>
        <v>2.6508296594809915</v>
      </c>
      <c r="EW89" s="1167">
        <f t="shared" si="278"/>
        <v>3</v>
      </c>
      <c r="EX89" s="1155">
        <f t="shared" si="279"/>
        <v>0.88360988649366379</v>
      </c>
    </row>
    <row r="90" spans="2:154">
      <c r="B90" s="1218" t="s">
        <v>1274</v>
      </c>
      <c r="C90" s="1219">
        <v>8</v>
      </c>
      <c r="D90" s="1230" t="s">
        <v>1269</v>
      </c>
      <c r="E90" s="1230" t="s">
        <v>1270</v>
      </c>
      <c r="F90" s="1231" t="s">
        <v>1271</v>
      </c>
      <c r="V90" s="1278">
        <v>68.900000000000006</v>
      </c>
      <c r="W90" s="1262">
        <v>1.355</v>
      </c>
      <c r="X90" s="1260">
        <v>87.433333333333323</v>
      </c>
      <c r="Y90" s="1272">
        <v>1129.005961251863</v>
      </c>
      <c r="Z90" s="1255" t="s">
        <v>1058</v>
      </c>
      <c r="AA90" s="1265">
        <v>5.1311999999999998</v>
      </c>
      <c r="AB90" s="1299">
        <v>4.8</v>
      </c>
      <c r="AC90" s="1291">
        <v>1.0658982828495798</v>
      </c>
      <c r="AD90" s="1271" t="s">
        <v>1058</v>
      </c>
      <c r="AE90" s="1271" t="s">
        <v>1058</v>
      </c>
      <c r="AF90" s="1254">
        <v>63.96835185568672</v>
      </c>
      <c r="AG90" s="1291">
        <v>168.13</v>
      </c>
      <c r="AH90" s="1280">
        <v>4</v>
      </c>
      <c r="AI90" s="1253">
        <v>4</v>
      </c>
      <c r="AJ90" s="1253">
        <v>4</v>
      </c>
      <c r="AK90" s="1280">
        <v>1</v>
      </c>
      <c r="AL90" s="1280">
        <v>2</v>
      </c>
      <c r="AM90" s="1280">
        <v>2</v>
      </c>
      <c r="AN90" s="1280">
        <v>3</v>
      </c>
      <c r="AO90" s="1280">
        <v>2</v>
      </c>
      <c r="AP90" s="1253">
        <v>110</v>
      </c>
      <c r="AQ90" s="1280"/>
      <c r="AR90" s="1280">
        <v>2</v>
      </c>
      <c r="AS90" s="1280">
        <v>5</v>
      </c>
      <c r="AT90" s="1280">
        <v>2</v>
      </c>
      <c r="AU90" s="1280"/>
      <c r="AV90" s="1133">
        <f t="shared" si="182"/>
        <v>3.81</v>
      </c>
      <c r="AW90" s="1134">
        <f t="shared" si="183"/>
        <v>1.05</v>
      </c>
      <c r="AX90" s="1134">
        <f t="shared" si="184"/>
        <v>0.15</v>
      </c>
      <c r="AY90" s="1135">
        <f t="shared" si="185"/>
        <v>1.355</v>
      </c>
      <c r="AZ90" s="1136">
        <f t="shared" si="186"/>
        <v>0.91050023167690852</v>
      </c>
      <c r="BA90" s="1137">
        <f t="shared" si="187"/>
        <v>0.89993809999999996</v>
      </c>
      <c r="BB90" s="956">
        <f t="shared" si="188"/>
        <v>1.1599999999999999</v>
      </c>
      <c r="BC90" s="1138">
        <f t="shared" si="189"/>
        <v>1</v>
      </c>
      <c r="BD90" s="1139">
        <f t="shared" si="190"/>
        <v>87.433333333333323</v>
      </c>
      <c r="BE90" s="1138">
        <f t="shared" si="191"/>
        <v>0.61759270599203975</v>
      </c>
      <c r="BF90" s="1140">
        <f t="shared" si="192"/>
        <v>1</v>
      </c>
      <c r="BG90" s="1137">
        <f t="shared" si="193"/>
        <v>0.03</v>
      </c>
      <c r="BH90" s="956">
        <f t="shared" si="194"/>
        <v>1</v>
      </c>
      <c r="BI90" s="956">
        <f t="shared" si="195"/>
        <v>1.08</v>
      </c>
      <c r="BJ90" s="956">
        <f t="shared" si="196"/>
        <v>0</v>
      </c>
      <c r="BK90" s="956">
        <f t="shared" si="197"/>
        <v>1.08</v>
      </c>
      <c r="BL90" s="956">
        <f t="shared" si="198"/>
        <v>0</v>
      </c>
      <c r="BM90" s="1141">
        <f t="shared" si="199"/>
        <v>1129.005961251863</v>
      </c>
      <c r="BN90" s="1142">
        <f t="shared" si="200"/>
        <v>0.99999999999999467</v>
      </c>
      <c r="BO90" s="1143">
        <f t="shared" si="201"/>
        <v>0.43227500000000002</v>
      </c>
      <c r="BP90" s="1144">
        <f t="shared" si="202"/>
        <v>0.9</v>
      </c>
      <c r="BQ90" s="1134">
        <f t="shared" si="203"/>
        <v>0.9</v>
      </c>
      <c r="BR90" s="1145" t="str">
        <f t="shared" si="204"/>
        <v>.</v>
      </c>
      <c r="BS90" s="1146" t="e">
        <f t="shared" si="205"/>
        <v>#VALUE!</v>
      </c>
      <c r="BT90" s="1147">
        <f>VLOOKUP(AP90,'CROP FACTORS'!$C$5:$N$130,7,FALSE)</f>
        <v>6</v>
      </c>
      <c r="BU90" s="1148">
        <f>VLOOKUP(AP90,'CROP FACTORS'!$C$5:$P$130,8,FALSE)</f>
        <v>1</v>
      </c>
      <c r="BV90" s="1149">
        <f t="shared" si="206"/>
        <v>5.1311999999999998</v>
      </c>
      <c r="BW90" s="1150">
        <f t="shared" si="207"/>
        <v>0.6856371548352701</v>
      </c>
      <c r="BX90" s="1137">
        <f>VLOOKUP(AP90,'CROP FACTORS'!$C$5:$N$130,10,FALSE)</f>
        <v>16</v>
      </c>
      <c r="BY90" s="1138">
        <f t="shared" si="208"/>
        <v>170.02558720000002</v>
      </c>
      <c r="BZ90" s="956">
        <f t="shared" si="209"/>
        <v>0.01</v>
      </c>
      <c r="CA90" s="956">
        <f t="shared" si="210"/>
        <v>1.01</v>
      </c>
      <c r="CB90" s="1148">
        <f t="shared" si="211"/>
        <v>172.35247237362563</v>
      </c>
      <c r="CC90" s="1148">
        <f t="shared" si="212"/>
        <v>173.44310150272003</v>
      </c>
      <c r="CD90" s="956">
        <f t="shared" si="213"/>
        <v>140</v>
      </c>
      <c r="CE90" s="956">
        <f t="shared" si="214"/>
        <v>90000</v>
      </c>
      <c r="CF90" s="956">
        <f t="shared" si="215"/>
        <v>1.4</v>
      </c>
      <c r="CG90" s="956">
        <f t="shared" si="216"/>
        <v>0.02</v>
      </c>
      <c r="CH90" s="956">
        <f t="shared" si="217"/>
        <v>127707.29999999999</v>
      </c>
      <c r="CI90" s="956">
        <f t="shared" si="218"/>
        <v>128519.99999999999</v>
      </c>
      <c r="CJ90" s="1138">
        <f t="shared" si="219"/>
        <v>1.25</v>
      </c>
      <c r="CK90" s="1138">
        <f t="shared" si="220"/>
        <v>2.1</v>
      </c>
      <c r="CL90" s="1138">
        <f t="shared" si="221"/>
        <v>1.25</v>
      </c>
      <c r="CM90" s="1138">
        <f t="shared" si="222"/>
        <v>1.25</v>
      </c>
      <c r="CN90" s="1151">
        <f t="shared" si="223"/>
        <v>4.8</v>
      </c>
      <c r="CO90" s="1138">
        <f t="shared" si="224"/>
        <v>0.58255193926099447</v>
      </c>
      <c r="CP90" s="1138">
        <f t="shared" si="225"/>
        <v>0.58101715237525797</v>
      </c>
      <c r="CQ90" s="1152">
        <f t="shared" si="226"/>
        <v>0.58255193926099447</v>
      </c>
      <c r="CR90" s="1153">
        <f t="shared" si="227"/>
        <v>0.58101715237525797</v>
      </c>
      <c r="CS90" s="1137">
        <f t="shared" si="228"/>
        <v>0.79600000000000004</v>
      </c>
      <c r="CT90" s="956">
        <f t="shared" si="229"/>
        <v>16.945</v>
      </c>
      <c r="CU90" s="956">
        <f t="shared" si="230"/>
        <v>-10.79</v>
      </c>
      <c r="CV90" s="956">
        <f t="shared" si="231"/>
        <v>0</v>
      </c>
      <c r="CW90" s="956">
        <f t="shared" si="232"/>
        <v>9.3587152000000007</v>
      </c>
      <c r="CX90" s="956">
        <f t="shared" si="233"/>
        <v>-10.275524000000001</v>
      </c>
      <c r="CY90" s="1154">
        <f t="shared" si="234"/>
        <v>1.0658982828495798</v>
      </c>
      <c r="CZ90" s="1155">
        <f t="shared" si="235"/>
        <v>0.98781582495816111</v>
      </c>
      <c r="DA90" s="1137" t="e">
        <f>MIN(VLOOKUP(AP90,'CROP FACTORS'!$C$5:$N$130,2,FALSE),VLOOKUP(AQ90,'CROP FACTORS'!$C$5:$N$130,2,FALSE))</f>
        <v>#N/A</v>
      </c>
      <c r="DB90" s="956" t="e">
        <f>MIN(VLOOKUP(AP90,'CROP FACTORS'!$C$5:$N$130,4,FALSE),VLOOKUP(AQ90,'CROP FACTORS'!$C$5:$N$130,4,FALSE))</f>
        <v>#N/A</v>
      </c>
      <c r="DC90" s="1156" t="e">
        <f t="shared" si="236"/>
        <v>#N/A</v>
      </c>
      <c r="DD90" s="1138">
        <f t="shared" si="237"/>
        <v>1.22</v>
      </c>
      <c r="DE90" s="1157" t="str">
        <f t="shared" si="238"/>
        <v>.</v>
      </c>
      <c r="DF90" s="1138" t="e">
        <f t="shared" si="239"/>
        <v>#N/A</v>
      </c>
      <c r="DG90" s="1158" t="e">
        <f t="shared" si="240"/>
        <v>#N/A</v>
      </c>
      <c r="DH90" s="1159" t="str">
        <f t="shared" si="241"/>
        <v>.</v>
      </c>
      <c r="DI90" s="1153" t="e">
        <f t="shared" si="242"/>
        <v>#VALUE!</v>
      </c>
      <c r="DJ90" s="1133">
        <f t="shared" si="243"/>
        <v>5.8</v>
      </c>
      <c r="DK90" s="1160">
        <f t="shared" si="244"/>
        <v>2.7</v>
      </c>
      <c r="DL90" s="1134">
        <f t="shared" si="245"/>
        <v>2.1</v>
      </c>
      <c r="DM90" s="1161">
        <f t="shared" si="246"/>
        <v>63.96835185568672</v>
      </c>
      <c r="DN90" s="1144">
        <f t="shared" si="247"/>
        <v>48.546000000000006</v>
      </c>
      <c r="DO90" s="1162">
        <f t="shared" si="248"/>
        <v>0.3187504912462647</v>
      </c>
      <c r="DP90" s="1163">
        <f t="shared" si="249"/>
        <v>0.3187504912462647</v>
      </c>
      <c r="DQ90" s="1133">
        <f t="shared" si="250"/>
        <v>1.0745</v>
      </c>
      <c r="DR90" s="1134">
        <f t="shared" si="251"/>
        <v>-1.3429999999999999E-2</v>
      </c>
      <c r="DS90" s="1164">
        <f t="shared" si="252"/>
        <v>168.13</v>
      </c>
      <c r="DT90" s="1146">
        <f t="shared" si="253"/>
        <v>0.96214934640745353</v>
      </c>
      <c r="DU90" s="1165">
        <f t="shared" si="254"/>
        <v>0.91050023167690852</v>
      </c>
      <c r="DV90" s="1166">
        <f t="shared" si="255"/>
        <v>1</v>
      </c>
      <c r="DW90" s="1166">
        <f t="shared" si="256"/>
        <v>0.99999999999999467</v>
      </c>
      <c r="DX90" s="1166"/>
      <c r="DY90" s="1166">
        <f t="shared" si="257"/>
        <v>0.6856371548352701</v>
      </c>
      <c r="DZ90" s="1166">
        <f t="shared" si="258"/>
        <v>0.58255193926099447</v>
      </c>
      <c r="EA90" s="1138"/>
      <c r="EB90" s="1166">
        <f t="shared" si="259"/>
        <v>0.98781582495816111</v>
      </c>
      <c r="EC90" s="1166"/>
      <c r="ED90" s="1138"/>
      <c r="EE90" s="1166">
        <f t="shared" si="260"/>
        <v>0.3187504912462647</v>
      </c>
      <c r="EF90" s="1140">
        <f t="shared" si="261"/>
        <v>0.96214934640745353</v>
      </c>
      <c r="EG90" s="1159">
        <f t="shared" si="262"/>
        <v>6.4474049883850473</v>
      </c>
      <c r="EH90" s="1167">
        <f t="shared" si="263"/>
        <v>8</v>
      </c>
      <c r="EI90" s="1302">
        <f t="shared" si="264"/>
        <v>0.80592562354813091</v>
      </c>
      <c r="EJ90" s="1168">
        <f t="shared" si="265"/>
        <v>1.9878158249581612</v>
      </c>
      <c r="EK90" s="1169">
        <f t="shared" si="266"/>
        <v>2</v>
      </c>
      <c r="EL90" s="1170">
        <f t="shared" si="267"/>
        <v>0.99390791247908061</v>
      </c>
      <c r="EM90" s="1159">
        <f t="shared" si="268"/>
        <v>0.6856371548352701</v>
      </c>
      <c r="EN90" s="1167">
        <f t="shared" si="269"/>
        <v>1</v>
      </c>
      <c r="EO90" s="1171">
        <f t="shared" si="270"/>
        <v>0.6856371548352701</v>
      </c>
      <c r="EP90" s="1168">
        <f t="shared" si="271"/>
        <v>2.2292507229231679</v>
      </c>
      <c r="EQ90" s="1169">
        <f t="shared" si="272"/>
        <v>3</v>
      </c>
      <c r="ER90" s="1146">
        <f t="shared" si="273"/>
        <v>0.74308357430772265</v>
      </c>
      <c r="ES90" s="1159">
        <f t="shared" si="274"/>
        <v>1.5447012856684479</v>
      </c>
      <c r="ET90" s="1167">
        <f t="shared" si="275"/>
        <v>2</v>
      </c>
      <c r="EU90" s="1155">
        <f t="shared" si="276"/>
        <v>0.77235064283422394</v>
      </c>
      <c r="EV90" s="1159">
        <f t="shared" si="277"/>
        <v>2.2303384405037181</v>
      </c>
      <c r="EW90" s="1167">
        <f t="shared" si="278"/>
        <v>3</v>
      </c>
      <c r="EX90" s="1155">
        <f t="shared" si="279"/>
        <v>0.74344614683457266</v>
      </c>
    </row>
    <row r="91" spans="2:154" ht="16" thickBot="1">
      <c r="B91" s="1245" t="s">
        <v>1274</v>
      </c>
      <c r="C91" s="1236">
        <v>9</v>
      </c>
      <c r="D91" s="1237" t="s">
        <v>1269</v>
      </c>
      <c r="E91" s="1237" t="s">
        <v>1270</v>
      </c>
      <c r="F91" s="1238" t="s">
        <v>1271</v>
      </c>
      <c r="V91" s="1275">
        <v>66.2</v>
      </c>
      <c r="W91" s="1259">
        <v>1.6850000000000001</v>
      </c>
      <c r="X91" s="1281">
        <v>91.84</v>
      </c>
      <c r="Y91" s="1270">
        <v>791.98701298701292</v>
      </c>
      <c r="Z91" s="1255" t="s">
        <v>1058</v>
      </c>
      <c r="AA91" s="1274">
        <v>5.4077999999999999</v>
      </c>
      <c r="AB91" s="1258">
        <v>6.6</v>
      </c>
      <c r="AC91" s="1301">
        <v>1.3683322791482186</v>
      </c>
      <c r="AD91" s="1271" t="s">
        <v>1058</v>
      </c>
      <c r="AE91" s="1271" t="s">
        <v>1058</v>
      </c>
      <c r="AF91" s="1284">
        <v>73.927502712085072</v>
      </c>
      <c r="AG91" s="1301">
        <v>111.82599999999999</v>
      </c>
      <c r="AH91" s="1269">
        <v>4</v>
      </c>
      <c r="AI91" s="1269">
        <v>4</v>
      </c>
      <c r="AJ91" s="1269">
        <v>4</v>
      </c>
      <c r="AK91" s="1269">
        <v>1</v>
      </c>
      <c r="AL91" s="1269">
        <v>2</v>
      </c>
      <c r="AM91" s="1269">
        <v>2</v>
      </c>
      <c r="AN91" s="1269">
        <v>3</v>
      </c>
      <c r="AO91" s="1269">
        <v>2</v>
      </c>
      <c r="AP91" s="1253">
        <v>110</v>
      </c>
      <c r="AQ91" s="1269"/>
      <c r="AR91" s="1269">
        <v>2</v>
      </c>
      <c r="AS91" s="1269">
        <v>5</v>
      </c>
      <c r="AT91" s="1269">
        <v>2</v>
      </c>
      <c r="AU91" s="1269"/>
      <c r="AV91" s="1133">
        <f t="shared" si="182"/>
        <v>3.81</v>
      </c>
      <c r="AW91" s="1134">
        <f t="shared" si="183"/>
        <v>1.05</v>
      </c>
      <c r="AX91" s="1134">
        <f t="shared" si="184"/>
        <v>0.15</v>
      </c>
      <c r="AY91" s="1135">
        <f t="shared" si="185"/>
        <v>1.6850000000000001</v>
      </c>
      <c r="AZ91" s="1136">
        <f t="shared" si="186"/>
        <v>0.97891634031920916</v>
      </c>
      <c r="BA91" s="1137">
        <f t="shared" si="187"/>
        <v>0.89993809999999996</v>
      </c>
      <c r="BB91" s="956">
        <f t="shared" si="188"/>
        <v>1.1599999999999999</v>
      </c>
      <c r="BC91" s="1138">
        <f t="shared" si="189"/>
        <v>1</v>
      </c>
      <c r="BD91" s="1139">
        <f t="shared" si="190"/>
        <v>91.84</v>
      </c>
      <c r="BE91" s="1138">
        <f t="shared" si="191"/>
        <v>0.51597765106983429</v>
      </c>
      <c r="BF91" s="1140">
        <f t="shared" si="192"/>
        <v>1</v>
      </c>
      <c r="BG91" s="1137">
        <f t="shared" si="193"/>
        <v>0.03</v>
      </c>
      <c r="BH91" s="956">
        <f t="shared" si="194"/>
        <v>1</v>
      </c>
      <c r="BI91" s="956">
        <f t="shared" si="195"/>
        <v>1.08</v>
      </c>
      <c r="BJ91" s="956">
        <f t="shared" si="196"/>
        <v>0</v>
      </c>
      <c r="BK91" s="956">
        <f t="shared" si="197"/>
        <v>1.08</v>
      </c>
      <c r="BL91" s="956">
        <f t="shared" si="198"/>
        <v>0</v>
      </c>
      <c r="BM91" s="1141">
        <f t="shared" si="199"/>
        <v>791.98701298701292</v>
      </c>
      <c r="BN91" s="1142">
        <f t="shared" si="200"/>
        <v>0.99999999970762166</v>
      </c>
      <c r="BO91" s="1143">
        <f t="shared" si="201"/>
        <v>0.43227500000000002</v>
      </c>
      <c r="BP91" s="1144">
        <f t="shared" si="202"/>
        <v>0.9</v>
      </c>
      <c r="BQ91" s="1134">
        <f t="shared" si="203"/>
        <v>0.9</v>
      </c>
      <c r="BR91" s="1145" t="str">
        <f t="shared" si="204"/>
        <v>.</v>
      </c>
      <c r="BS91" s="1146" t="e">
        <f t="shared" si="205"/>
        <v>#VALUE!</v>
      </c>
      <c r="BT91" s="1147">
        <f>VLOOKUP(AP91,'CROP FACTORS'!$C$5:$N$130,7,FALSE)</f>
        <v>6</v>
      </c>
      <c r="BU91" s="1148">
        <f>VLOOKUP(AP91,'CROP FACTORS'!$C$5:$P$130,8,FALSE)</f>
        <v>1</v>
      </c>
      <c r="BV91" s="1149">
        <f t="shared" si="206"/>
        <v>5.4077999999999999</v>
      </c>
      <c r="BW91" s="1150">
        <f t="shared" si="207"/>
        <v>0.83916290977418639</v>
      </c>
      <c r="BX91" s="1137">
        <f>VLOOKUP(AP91,'CROP FACTORS'!$C$5:$N$130,10,FALSE)</f>
        <v>16</v>
      </c>
      <c r="BY91" s="1138">
        <f t="shared" si="208"/>
        <v>170.02558720000002</v>
      </c>
      <c r="BZ91" s="956">
        <f t="shared" si="209"/>
        <v>0.01</v>
      </c>
      <c r="CA91" s="956">
        <f t="shared" si="210"/>
        <v>1.01</v>
      </c>
      <c r="CB91" s="1148">
        <f t="shared" si="211"/>
        <v>172.91916765576323</v>
      </c>
      <c r="CC91" s="1148">
        <f t="shared" si="212"/>
        <v>173.44310150272003</v>
      </c>
      <c r="CD91" s="956">
        <f t="shared" si="213"/>
        <v>140</v>
      </c>
      <c r="CE91" s="956">
        <f t="shared" si="214"/>
        <v>90000</v>
      </c>
      <c r="CF91" s="956">
        <f t="shared" si="215"/>
        <v>1.4</v>
      </c>
      <c r="CG91" s="956">
        <f t="shared" si="216"/>
        <v>0.02</v>
      </c>
      <c r="CH91" s="956">
        <f t="shared" si="217"/>
        <v>128123.09999999999</v>
      </c>
      <c r="CI91" s="956">
        <f t="shared" si="218"/>
        <v>128519.99999999999</v>
      </c>
      <c r="CJ91" s="1138">
        <f t="shared" si="219"/>
        <v>1.25</v>
      </c>
      <c r="CK91" s="1138">
        <f t="shared" si="220"/>
        <v>2.1</v>
      </c>
      <c r="CL91" s="1138">
        <f t="shared" si="221"/>
        <v>1.25</v>
      </c>
      <c r="CM91" s="1138">
        <f t="shared" si="222"/>
        <v>1.25</v>
      </c>
      <c r="CN91" s="1151">
        <f t="shared" si="223"/>
        <v>6.6</v>
      </c>
      <c r="CO91" s="1138">
        <f t="shared" si="224"/>
        <v>0.78658126372938619</v>
      </c>
      <c r="CP91" s="1138">
        <f t="shared" si="225"/>
        <v>0.78607295493424889</v>
      </c>
      <c r="CQ91" s="1152">
        <f t="shared" si="226"/>
        <v>0.78658126372938619</v>
      </c>
      <c r="CR91" s="1153">
        <f t="shared" si="227"/>
        <v>0.78607295493424889</v>
      </c>
      <c r="CS91" s="1137">
        <f t="shared" si="228"/>
        <v>0.79600000000000004</v>
      </c>
      <c r="CT91" s="956">
        <f t="shared" si="229"/>
        <v>16.945</v>
      </c>
      <c r="CU91" s="956">
        <f t="shared" si="230"/>
        <v>-10.79</v>
      </c>
      <c r="CV91" s="956">
        <f t="shared" si="231"/>
        <v>0</v>
      </c>
      <c r="CW91" s="956">
        <f t="shared" si="232"/>
        <v>9.3587152000000007</v>
      </c>
      <c r="CX91" s="956">
        <f t="shared" si="233"/>
        <v>-10.275524000000001</v>
      </c>
      <c r="CY91" s="1154">
        <f t="shared" si="234"/>
        <v>1.3683322791482186</v>
      </c>
      <c r="CZ91" s="1155">
        <f t="shared" si="235"/>
        <v>0.44585431766779726</v>
      </c>
      <c r="DA91" s="1137" t="e">
        <f>MIN(VLOOKUP(AP91,'CROP FACTORS'!$C$5:$N$130,2,FALSE),VLOOKUP(AQ91,'CROP FACTORS'!$C$5:$N$130,2,FALSE))</f>
        <v>#N/A</v>
      </c>
      <c r="DB91" s="956" t="e">
        <f>MIN(VLOOKUP(AP91,'CROP FACTORS'!$C$5:$N$130,4,FALSE),VLOOKUP(AQ91,'CROP FACTORS'!$C$5:$N$130,4,FALSE))</f>
        <v>#N/A</v>
      </c>
      <c r="DC91" s="1156" t="e">
        <f t="shared" si="236"/>
        <v>#N/A</v>
      </c>
      <c r="DD91" s="1138">
        <f t="shared" si="237"/>
        <v>1.22</v>
      </c>
      <c r="DE91" s="1157" t="str">
        <f t="shared" si="238"/>
        <v>.</v>
      </c>
      <c r="DF91" s="1138" t="e">
        <f t="shared" si="239"/>
        <v>#N/A</v>
      </c>
      <c r="DG91" s="1158" t="e">
        <f t="shared" si="240"/>
        <v>#N/A</v>
      </c>
      <c r="DH91" s="1159" t="str">
        <f t="shared" si="241"/>
        <v>.</v>
      </c>
      <c r="DI91" s="1153" t="e">
        <f t="shared" si="242"/>
        <v>#VALUE!</v>
      </c>
      <c r="DJ91" s="1133">
        <f t="shared" si="243"/>
        <v>5.8</v>
      </c>
      <c r="DK91" s="1160">
        <f t="shared" si="244"/>
        <v>2.7</v>
      </c>
      <c r="DL91" s="1134">
        <f t="shared" si="245"/>
        <v>2.1</v>
      </c>
      <c r="DM91" s="1161">
        <f t="shared" si="246"/>
        <v>73.927502712085072</v>
      </c>
      <c r="DN91" s="1144">
        <f t="shared" si="247"/>
        <v>48.546000000000006</v>
      </c>
      <c r="DO91" s="1162">
        <f t="shared" si="248"/>
        <v>0.43213177864349528</v>
      </c>
      <c r="DP91" s="1163">
        <f t="shared" si="249"/>
        <v>0.43213177864349528</v>
      </c>
      <c r="DQ91" s="1133">
        <f t="shared" si="250"/>
        <v>1.0745</v>
      </c>
      <c r="DR91" s="1134">
        <f t="shared" si="251"/>
        <v>-1.3429999999999999E-2</v>
      </c>
      <c r="DS91" s="1164">
        <f t="shared" si="252"/>
        <v>111.82599999999999</v>
      </c>
      <c r="DT91" s="1146">
        <f t="shared" si="253"/>
        <v>0.83518335821980305</v>
      </c>
      <c r="DU91" s="1165">
        <f t="shared" si="254"/>
        <v>0.97891634031920916</v>
      </c>
      <c r="DV91" s="1166">
        <f t="shared" si="255"/>
        <v>1</v>
      </c>
      <c r="DW91" s="1166">
        <f t="shared" si="256"/>
        <v>0.99999999970762166</v>
      </c>
      <c r="DX91" s="1166"/>
      <c r="DY91" s="1166">
        <f t="shared" si="257"/>
        <v>0.83916290977418639</v>
      </c>
      <c r="DZ91" s="1166">
        <f t="shared" si="258"/>
        <v>0.78658126372938619</v>
      </c>
      <c r="EA91" s="1138"/>
      <c r="EB91" s="1166">
        <f t="shared" si="259"/>
        <v>0.44585431766779726</v>
      </c>
      <c r="EC91" s="1166"/>
      <c r="ED91" s="1138"/>
      <c r="EE91" s="1166">
        <f t="shared" si="260"/>
        <v>0.43213177864349528</v>
      </c>
      <c r="EF91" s="1140">
        <f t="shared" si="261"/>
        <v>0.83518335821980305</v>
      </c>
      <c r="EG91" s="1159">
        <f t="shared" si="262"/>
        <v>6.3178299680614991</v>
      </c>
      <c r="EH91" s="1167">
        <f t="shared" si="263"/>
        <v>8</v>
      </c>
      <c r="EI91" s="1302">
        <f t="shared" si="264"/>
        <v>0.78972874600768739</v>
      </c>
      <c r="EJ91" s="1168">
        <f t="shared" si="265"/>
        <v>1.4458543176677972</v>
      </c>
      <c r="EK91" s="1169">
        <f t="shared" si="266"/>
        <v>2</v>
      </c>
      <c r="EL91" s="1170">
        <f t="shared" si="267"/>
        <v>0.72292715883389858</v>
      </c>
      <c r="EM91" s="1159">
        <f t="shared" si="268"/>
        <v>0.83916290977418639</v>
      </c>
      <c r="EN91" s="1167">
        <f t="shared" si="269"/>
        <v>1</v>
      </c>
      <c r="EO91" s="1171">
        <f t="shared" si="270"/>
        <v>0.83916290977418639</v>
      </c>
      <c r="EP91" s="1168">
        <f t="shared" si="271"/>
        <v>2.4110481186703261</v>
      </c>
      <c r="EQ91" s="1169">
        <f t="shared" si="272"/>
        <v>3</v>
      </c>
      <c r="ER91" s="1146">
        <f t="shared" si="273"/>
        <v>0.80368270622344207</v>
      </c>
      <c r="ES91" s="1159">
        <f t="shared" si="274"/>
        <v>1.6217646219491892</v>
      </c>
      <c r="ET91" s="1167">
        <f t="shared" si="275"/>
        <v>2</v>
      </c>
      <c r="EU91" s="1155">
        <f t="shared" si="276"/>
        <v>0.81088231097459462</v>
      </c>
      <c r="EV91" s="1159">
        <f t="shared" si="277"/>
        <v>2.4609275317233754</v>
      </c>
      <c r="EW91" s="1167">
        <f t="shared" si="278"/>
        <v>3</v>
      </c>
      <c r="EX91" s="1155">
        <f t="shared" si="279"/>
        <v>0.82030917724112518</v>
      </c>
    </row>
    <row r="92" spans="2:154">
      <c r="AB92" s="184"/>
    </row>
    <row r="93" spans="2:154">
      <c r="AB93" s="184"/>
    </row>
    <row r="94" spans="2:154">
      <c r="AB94" s="184"/>
    </row>
    <row r="95" spans="2:154">
      <c r="AB95" s="184"/>
    </row>
    <row r="96" spans="2:154">
      <c r="AB96" s="184"/>
    </row>
    <row r="97" spans="28:28">
      <c r="AB97" s="184"/>
    </row>
    <row r="98" spans="28:28">
      <c r="AB98" s="184"/>
    </row>
    <row r="99" spans="28:28">
      <c r="AB99" s="184"/>
    </row>
    <row r="100" spans="28:28">
      <c r="AB100" s="184"/>
    </row>
    <row r="101" spans="28:28">
      <c r="AB101" s="184"/>
    </row>
    <row r="102" spans="28:28">
      <c r="AB102" s="184"/>
    </row>
    <row r="103" spans="28:28">
      <c r="AB103" s="252"/>
    </row>
  </sheetData>
  <mergeCells count="29">
    <mergeCell ref="EQ6:EQ8"/>
    <mergeCell ref="ET6:ET8"/>
    <mergeCell ref="AJ2:AJ8"/>
    <mergeCell ref="CQ6:CQ8"/>
    <mergeCell ref="AI2:AI8"/>
    <mergeCell ref="EK6:EK8"/>
    <mergeCell ref="EN6:EN8"/>
    <mergeCell ref="AP2:AQ8"/>
    <mergeCell ref="AK8:AO8"/>
    <mergeCell ref="AR8:AU8"/>
    <mergeCell ref="EH6:EH8"/>
    <mergeCell ref="DH8:DI8"/>
    <mergeCell ref="DH6:DI7"/>
    <mergeCell ref="DA3:DB6"/>
    <mergeCell ref="DU8:EF8"/>
    <mergeCell ref="BX2:BX6"/>
    <mergeCell ref="AH2:AH8"/>
    <mergeCell ref="P8:Q9"/>
    <mergeCell ref="R6:R9"/>
    <mergeCell ref="BT7:BU7"/>
    <mergeCell ref="BT2:BU6"/>
    <mergeCell ref="Z6:AA8"/>
    <mergeCell ref="V7:X8"/>
    <mergeCell ref="U7:U9"/>
    <mergeCell ref="L9:M9"/>
    <mergeCell ref="O11:O12"/>
    <mergeCell ref="EV9:EX9"/>
    <mergeCell ref="CP9:CP10"/>
    <mergeCell ref="CO9:CO10"/>
  </mergeCells>
  <phoneticPr fontId="132" type="noConversion"/>
  <pageMargins left="0.75" right="0.75" top="1" bottom="1" header="0.5" footer="0.5"/>
  <pageSetup orientation="portrait" horizontalDpi="4294967292" verticalDpi="4294967292"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296"/>
  <sheetViews>
    <sheetView topLeftCell="A13" workbookViewId="0">
      <selection activeCell="D37" sqref="D37"/>
    </sheetView>
  </sheetViews>
  <sheetFormatPr defaultColWidth="8.8984375" defaultRowHeight="11.5"/>
  <cols>
    <col min="1" max="1" width="8.8984375" customWidth="1"/>
    <col min="2" max="2" width="11.09765625" customWidth="1"/>
    <col min="3" max="4" width="14" customWidth="1"/>
    <col min="5" max="5" width="12.8984375" customWidth="1"/>
  </cols>
  <sheetData>
    <row r="1" spans="1:14" ht="15.5">
      <c r="A1" s="59" t="s">
        <v>871</v>
      </c>
      <c r="B1" s="60"/>
      <c r="C1" s="60"/>
      <c r="D1" s="60"/>
      <c r="E1" s="60"/>
      <c r="F1" s="60"/>
      <c r="H1" s="60"/>
      <c r="I1" s="64" t="s">
        <v>904</v>
      </c>
      <c r="J1" s="60"/>
      <c r="K1" s="60"/>
      <c r="L1" s="60"/>
      <c r="M1" s="60"/>
      <c r="N1" s="60"/>
    </row>
    <row r="2" spans="1:14">
      <c r="A2" s="61"/>
      <c r="B2" s="61"/>
      <c r="C2" s="61"/>
      <c r="D2" s="61"/>
      <c r="E2" s="61"/>
      <c r="F2" s="61"/>
      <c r="G2" s="62"/>
      <c r="H2" s="62"/>
      <c r="I2" s="62"/>
      <c r="J2" s="62"/>
      <c r="K2" s="61"/>
      <c r="L2" s="61"/>
      <c r="M2" s="61"/>
      <c r="N2" s="61"/>
    </row>
    <row r="3" spans="1:14" ht="13">
      <c r="A3" s="63" t="s">
        <v>1073</v>
      </c>
      <c r="B3" s="61"/>
      <c r="C3" s="61"/>
      <c r="D3" s="61"/>
      <c r="E3" s="64"/>
      <c r="F3" s="61"/>
      <c r="G3" s="62"/>
      <c r="H3" s="62"/>
      <c r="I3" s="62"/>
      <c r="J3" s="62"/>
      <c r="K3" s="61"/>
      <c r="L3" s="61"/>
      <c r="M3" s="61"/>
      <c r="N3" s="61"/>
    </row>
    <row r="4" spans="1:14" ht="13">
      <c r="A4" s="65" t="s">
        <v>872</v>
      </c>
      <c r="B4" s="61"/>
      <c r="C4" s="61"/>
      <c r="D4" s="61"/>
      <c r="E4" s="64" t="s">
        <v>862</v>
      </c>
      <c r="F4" s="61"/>
      <c r="G4" s="62"/>
      <c r="H4" s="62"/>
      <c r="I4" s="62"/>
      <c r="J4" s="62"/>
      <c r="K4" s="61"/>
      <c r="L4" s="61"/>
      <c r="M4" s="61"/>
      <c r="N4" s="61"/>
    </row>
    <row r="5" spans="1:14">
      <c r="A5" s="61" t="s">
        <v>877</v>
      </c>
      <c r="B5" s="61"/>
      <c r="C5" s="61"/>
      <c r="D5" s="61"/>
      <c r="E5" s="61"/>
      <c r="F5" s="61"/>
      <c r="G5" s="61"/>
      <c r="H5" s="61"/>
      <c r="I5" s="61"/>
      <c r="J5" s="61"/>
      <c r="K5" s="61"/>
      <c r="L5" s="61"/>
      <c r="M5" s="61"/>
      <c r="N5" s="61"/>
    </row>
    <row r="6" spans="1:14">
      <c r="A6" s="61" t="s">
        <v>878</v>
      </c>
      <c r="B6" s="61"/>
      <c r="C6" s="61"/>
      <c r="D6" s="61"/>
      <c r="E6" s="61"/>
      <c r="F6" s="61"/>
      <c r="G6" s="61"/>
      <c r="H6" s="61"/>
      <c r="I6" s="61"/>
      <c r="J6" s="61"/>
      <c r="K6" s="61"/>
      <c r="L6" s="61"/>
      <c r="M6" s="61"/>
      <c r="N6" s="61"/>
    </row>
    <row r="7" spans="1:14" ht="13">
      <c r="A7" s="66" t="s">
        <v>879</v>
      </c>
      <c r="B7" s="67">
        <v>-0.8</v>
      </c>
      <c r="C7" s="66" t="s">
        <v>863</v>
      </c>
      <c r="D7" s="67">
        <v>1.7992999999999999</v>
      </c>
      <c r="E7" s="66" t="s">
        <v>864</v>
      </c>
      <c r="F7" s="68">
        <v>1.9599999999999999E-2</v>
      </c>
      <c r="G7" s="67"/>
      <c r="H7" s="62"/>
      <c r="I7" s="62"/>
      <c r="J7" s="62"/>
      <c r="K7" s="61"/>
      <c r="L7" s="61"/>
      <c r="M7" s="61"/>
      <c r="N7" s="61"/>
    </row>
    <row r="8" spans="1:14">
      <c r="A8" s="61" t="s">
        <v>880</v>
      </c>
      <c r="B8" s="61"/>
      <c r="C8" s="69"/>
      <c r="D8" s="61"/>
      <c r="E8" s="69"/>
      <c r="F8" s="62"/>
      <c r="G8" s="62"/>
      <c r="H8" s="62"/>
      <c r="I8" s="62"/>
      <c r="J8" s="62"/>
      <c r="K8" s="61"/>
      <c r="L8" s="61"/>
      <c r="M8" s="61"/>
      <c r="N8" s="61"/>
    </row>
    <row r="9" spans="1:14" ht="13">
      <c r="A9" s="62" t="s">
        <v>903</v>
      </c>
      <c r="B9" s="61"/>
      <c r="C9" s="69"/>
      <c r="D9" s="61"/>
      <c r="E9" s="69"/>
      <c r="F9" s="62"/>
      <c r="G9" s="62"/>
      <c r="H9" s="62"/>
      <c r="I9" s="62"/>
      <c r="J9" s="62"/>
      <c r="K9" s="61"/>
      <c r="L9" s="61"/>
      <c r="M9" s="61"/>
      <c r="N9" s="61"/>
    </row>
    <row r="10" spans="1:14">
      <c r="A10" s="70"/>
      <c r="B10" s="70"/>
      <c r="C10" s="71"/>
      <c r="D10" s="70"/>
      <c r="E10" s="71"/>
      <c r="F10" s="70"/>
      <c r="G10" s="70"/>
      <c r="H10" s="70"/>
      <c r="I10" s="70"/>
      <c r="J10" s="70"/>
      <c r="K10" s="70"/>
      <c r="L10" s="70"/>
      <c r="M10" s="70"/>
      <c r="N10" s="70"/>
    </row>
    <row r="11" spans="1:14">
      <c r="A11" s="72"/>
      <c r="B11" s="72"/>
      <c r="C11" s="73"/>
      <c r="D11" s="72"/>
      <c r="E11" s="73"/>
      <c r="F11" s="72"/>
      <c r="G11" s="72"/>
      <c r="H11" s="72"/>
      <c r="I11" s="72"/>
      <c r="J11" s="72"/>
      <c r="K11" s="72"/>
      <c r="L11" s="72"/>
      <c r="M11" s="72"/>
      <c r="N11" s="72"/>
    </row>
    <row r="12" spans="1:14" ht="13">
      <c r="A12" s="74" t="s">
        <v>1090</v>
      </c>
      <c r="B12" s="75"/>
      <c r="C12" s="76"/>
      <c r="D12" s="75"/>
      <c r="E12" s="77" t="s">
        <v>882</v>
      </c>
      <c r="F12" s="72"/>
      <c r="G12" s="72"/>
      <c r="H12" s="72"/>
      <c r="I12" s="72"/>
      <c r="J12" s="72"/>
      <c r="K12" s="75"/>
      <c r="L12" s="75"/>
      <c r="M12" s="75"/>
      <c r="N12" s="75"/>
    </row>
    <row r="13" spans="1:14">
      <c r="A13" s="75"/>
      <c r="B13" s="75"/>
      <c r="C13" s="76"/>
      <c r="D13" s="75"/>
      <c r="E13" s="76"/>
      <c r="F13" s="72"/>
      <c r="G13" s="72"/>
      <c r="H13" s="72"/>
      <c r="I13" s="72"/>
      <c r="J13" s="72"/>
      <c r="K13" s="75"/>
      <c r="L13" s="75"/>
      <c r="M13" s="75"/>
      <c r="N13" s="75"/>
    </row>
    <row r="14" spans="1:14" ht="13">
      <c r="A14" s="78" t="s">
        <v>881</v>
      </c>
      <c r="B14" s="79"/>
      <c r="C14" s="80"/>
      <c r="D14" s="79" t="s">
        <v>886</v>
      </c>
      <c r="E14" s="79"/>
      <c r="F14" s="79"/>
      <c r="G14" s="79"/>
      <c r="H14" s="79" t="s">
        <v>887</v>
      </c>
      <c r="I14" s="79"/>
      <c r="J14" s="79"/>
      <c r="K14" s="80"/>
      <c r="L14" s="80"/>
      <c r="M14" s="79"/>
      <c r="N14" s="80"/>
    </row>
    <row r="15" spans="1:14" ht="13">
      <c r="A15" s="81" t="s">
        <v>889</v>
      </c>
      <c r="B15" s="74" t="s">
        <v>883</v>
      </c>
      <c r="C15" s="74"/>
      <c r="D15" s="82" t="s">
        <v>866</v>
      </c>
      <c r="E15" s="83" t="s">
        <v>867</v>
      </c>
      <c r="F15" s="81" t="s">
        <v>884</v>
      </c>
      <c r="G15" s="81"/>
      <c r="H15" s="82" t="s">
        <v>868</v>
      </c>
      <c r="I15" s="74" t="s">
        <v>869</v>
      </c>
      <c r="J15" s="82" t="s">
        <v>885</v>
      </c>
      <c r="K15" s="84"/>
      <c r="L15" s="84"/>
      <c r="M15" s="84"/>
      <c r="N15" s="84"/>
    </row>
    <row r="16" spans="1:14" ht="13">
      <c r="A16" s="75">
        <v>1</v>
      </c>
      <c r="B16" s="88">
        <v>1.2211053932890719</v>
      </c>
      <c r="C16" s="86"/>
      <c r="D16" s="84">
        <v>1</v>
      </c>
      <c r="E16" s="527">
        <v>0.87</v>
      </c>
      <c r="F16" s="87">
        <f>E16*B$16</f>
        <v>1.0623616921614925</v>
      </c>
      <c r="G16" s="87"/>
      <c r="H16" s="84">
        <v>1</v>
      </c>
      <c r="I16" s="88">
        <v>1.1000000000000001</v>
      </c>
      <c r="J16" s="86">
        <f>I16*F$18</f>
        <v>1.3432159326179791</v>
      </c>
      <c r="K16" s="86"/>
      <c r="L16" s="86"/>
      <c r="M16" s="86"/>
      <c r="N16" s="86"/>
    </row>
    <row r="17" spans="1:14" ht="13">
      <c r="A17" s="75">
        <v>2</v>
      </c>
      <c r="B17" s="88">
        <v>1.0715386950916088</v>
      </c>
      <c r="C17" s="75"/>
      <c r="D17" s="75">
        <v>2</v>
      </c>
      <c r="E17" s="527">
        <v>1.06</v>
      </c>
      <c r="F17" s="87">
        <f>E17*B$16</f>
        <v>1.2943717168864162</v>
      </c>
      <c r="G17" s="72"/>
      <c r="H17" s="84">
        <v>2</v>
      </c>
      <c r="I17" s="88">
        <v>1</v>
      </c>
      <c r="J17" s="86">
        <f>I17*F$18</f>
        <v>1.2211053932890719</v>
      </c>
      <c r="K17" s="75"/>
      <c r="L17" s="75"/>
      <c r="M17" s="75"/>
      <c r="N17" s="75"/>
    </row>
    <row r="18" spans="1:14" ht="13">
      <c r="A18" s="75">
        <v>3</v>
      </c>
      <c r="B18" s="88">
        <v>1.0199111676417574</v>
      </c>
      <c r="C18" s="75"/>
      <c r="D18" s="75">
        <v>3</v>
      </c>
      <c r="E18" s="527">
        <v>1</v>
      </c>
      <c r="F18" s="87">
        <f>E18*B$16</f>
        <v>1.2211053932890719</v>
      </c>
      <c r="G18" s="72"/>
      <c r="H18" s="72"/>
      <c r="I18" s="86"/>
      <c r="J18" s="75"/>
      <c r="K18" s="75"/>
      <c r="L18" s="86"/>
      <c r="M18" s="75"/>
      <c r="N18" s="75"/>
    </row>
    <row r="19" spans="1:14" ht="13">
      <c r="A19" s="75">
        <v>4</v>
      </c>
      <c r="B19" s="88">
        <v>0.89993807834392991</v>
      </c>
      <c r="C19" s="75"/>
      <c r="D19" s="75">
        <v>4</v>
      </c>
      <c r="E19" s="527">
        <v>1.1599999999999999</v>
      </c>
      <c r="F19" s="87">
        <f>E19*B$16</f>
        <v>1.4164822562153232</v>
      </c>
      <c r="G19" s="72"/>
      <c r="H19" s="72"/>
      <c r="I19" s="86"/>
      <c r="J19" s="75"/>
      <c r="K19" s="75"/>
      <c r="L19" s="86"/>
      <c r="M19" s="75"/>
      <c r="N19" s="75"/>
    </row>
    <row r="20" spans="1:14" ht="13">
      <c r="A20" s="75"/>
      <c r="B20" s="75"/>
      <c r="C20" s="75"/>
      <c r="D20" s="75">
        <v>5</v>
      </c>
      <c r="E20" s="527">
        <v>1.25</v>
      </c>
      <c r="F20" s="87">
        <f>E20*B$16</f>
        <v>1.5263817416113399</v>
      </c>
      <c r="G20" s="75"/>
      <c r="H20" s="75"/>
      <c r="I20" s="75"/>
      <c r="J20" s="75"/>
      <c r="K20" s="75"/>
      <c r="L20" s="75"/>
      <c r="M20" s="75"/>
      <c r="N20" s="75"/>
    </row>
    <row r="21" spans="1:14" ht="13">
      <c r="A21" s="89"/>
      <c r="B21" s="89"/>
      <c r="C21" s="89"/>
      <c r="D21" s="90"/>
      <c r="E21" s="89"/>
      <c r="F21" s="91"/>
      <c r="G21" s="89"/>
      <c r="H21" s="89"/>
      <c r="I21" s="89"/>
      <c r="J21" s="89"/>
      <c r="K21" s="89"/>
      <c r="L21" s="89"/>
      <c r="M21" s="89"/>
      <c r="N21" s="89"/>
    </row>
    <row r="22" spans="1:14" s="49" customFormat="1" ht="13">
      <c r="A22" s="72"/>
      <c r="B22" s="72"/>
      <c r="C22" s="72"/>
      <c r="D22" s="92"/>
      <c r="E22" s="72"/>
      <c r="F22" s="77"/>
      <c r="G22" s="72"/>
      <c r="H22" s="72"/>
      <c r="I22" s="72"/>
      <c r="J22" s="72"/>
      <c r="K22" s="72"/>
      <c r="L22" s="72"/>
      <c r="M22" s="72"/>
      <c r="N22" s="72"/>
    </row>
    <row r="23" spans="1:14" s="49" customFormat="1" ht="13">
      <c r="A23" s="280" t="s">
        <v>1085</v>
      </c>
      <c r="B23" s="261"/>
      <c r="C23" s="261"/>
      <c r="D23" s="281" t="s">
        <v>1026</v>
      </c>
      <c r="E23" s="261" t="s">
        <v>93</v>
      </c>
      <c r="F23" s="77"/>
      <c r="G23" s="72"/>
      <c r="H23" s="72"/>
      <c r="I23" s="72"/>
      <c r="J23" s="72"/>
      <c r="K23" s="72"/>
      <c r="L23" s="72"/>
      <c r="M23" s="72"/>
      <c r="N23" s="72"/>
    </row>
    <row r="24" spans="1:14" s="49" customFormat="1" ht="12.5">
      <c r="A24" s="282" t="s">
        <v>888</v>
      </c>
      <c r="B24" s="282" t="s">
        <v>405</v>
      </c>
      <c r="C24" s="282" t="s">
        <v>406</v>
      </c>
      <c r="D24" s="282" t="s">
        <v>91</v>
      </c>
      <c r="E24" s="282" t="s">
        <v>92</v>
      </c>
    </row>
    <row r="25" spans="1:14" s="49" customFormat="1">
      <c r="A25" s="283">
        <v>0</v>
      </c>
      <c r="B25" s="284">
        <f>IF(AND($A25&gt;50,$B$7+$D$7*COS(($F$7*$A25)-(LOOKUP(B$36,$A$16:$A$19,$B$16:$B$19)*LOOKUP(B$37,$D$16:$D$20,$E$16:$E$20)*LOOKUP(B$38,$H$16:$H$17,$I$16:$I$17)))&lt;1),1,$B$7+$D$7*COS(($F$7*$A25)-(LOOKUP(B$36,$A$16:$A$19,$B$16:$B$19)*LOOKUP(B$37,$D$16:$D$20,$E$16:$E$20)*LOOKUP(B$38,$H$16:$H$17,$I$16:$I$17))))</f>
        <v>-0.22067616899577047</v>
      </c>
      <c r="C25" s="284">
        <f>IF(AND($A25&gt;50,$B$7+$D$7*COS(($F$7*$A25)-(LOOKUP(C$36,$A$16:$A$19,$B$16:$B$19)*LOOKUP(C$37,$D$16:$D$20,$E$16:$E$20)*LOOKUP(C$38,$H$16:$H$17,$I$16:$I$17)))&lt;1),1,$B$7+$D$7*COS(($F$7*$A25)-(LOOKUP(C$36,$A$16:$A$19,$B$16:$B$19)*LOOKUP(C$37,$D$16:$D$20,$E$16:$E$20)*LOOKUP(C$38,$H$16:$H$17,$I$16:$I$17))))</f>
        <v>-0.38739511963964152</v>
      </c>
      <c r="D25" s="284">
        <f t="shared" ref="D25:E35" si="0">IF(AND($A25&gt;50,$B$7+$D$7*COS(($F$7*$A25)-(LOOKUP(D$36,$A$16:$A$19,$B$16:$B$19)*LOOKUP(D$37,$D$16:$D$20,$E$16:$E$20)*LOOKUP(D$38,$H$16:$H$17,$I$16:$I$17)))&lt;1),1,$B$7+$D$7*COS(($F$7*$A25)-(LOOKUP(D$36,$A$16:$A$19,$B$16:$B$19)*LOOKUP(D$37,$D$16:$D$20,$E$16:$E$20)*LOOKUP(D$38,$H$16:$H$17,$I$16:$I$17))))</f>
        <v>-0.27530990329720706</v>
      </c>
      <c r="E25" s="284">
        <f t="shared" si="0"/>
        <v>-0.2111967394160017</v>
      </c>
    </row>
    <row r="26" spans="1:14" s="49" customFormat="1">
      <c r="A26" s="283">
        <v>20</v>
      </c>
      <c r="B26" s="284">
        <f t="shared" ref="B26:B35" si="1">IF(AND($A26&gt;50,$B$7+$D$7*COS(($F$7*$A26)-(LOOKUP(B$36,$A$16:$A$19,$B$16:$B$19)*LOOKUP(B$37,$D$16:$D$20,$E$16:$E$20)*LOOKUP(B$38,$H$16:$H$17,$I$16:$I$17)))&lt;1),1,$B$7+$D$7*COS(($F$7*$A26)-(LOOKUP(B$36,$A$16:$A$19,$B$16:$B$19)*LOOKUP(B$37,$D$16:$D$20,$E$16:$E$20)*LOOKUP(B$38,$H$16:$H$17,$I$16:$I$17))))</f>
        <v>0.38617575020260086</v>
      </c>
      <c r="C26" s="284">
        <f t="shared" ref="C26:C35" si="2">IF(AND($A26&gt;50,$B$7+$D$7*COS(($F$7*$A26)-(LOOKUP(C$36,$A$16:$A$19,$B$16:$B$19)*LOOKUP(C$37,$D$16:$D$20,$E$16:$E$20)*LOOKUP(C$38,$H$16:$H$17,$I$16:$I$17)))&lt;1),1,$B$7+$D$7*COS(($F$7*$A26)-(LOOKUP(C$36,$A$16:$A$19,$B$16:$B$19)*LOOKUP(C$37,$D$16:$D$20,$E$16:$E$20)*LOOKUP(C$38,$H$16:$H$17,$I$16:$I$17))))</f>
        <v>0.2503900064020026</v>
      </c>
      <c r="D26" s="284">
        <f t="shared" si="0"/>
        <v>0.34241489368661737</v>
      </c>
      <c r="E26" s="284">
        <f t="shared" si="0"/>
        <v>0.39369326816998806</v>
      </c>
    </row>
    <row r="27" spans="1:14" s="49" customFormat="1">
      <c r="A27" s="283">
        <v>40</v>
      </c>
      <c r="B27" s="284">
        <f t="shared" si="1"/>
        <v>0.81307729655778127</v>
      </c>
      <c r="C27" s="284">
        <f t="shared" si="2"/>
        <v>0.72882431680733228</v>
      </c>
      <c r="D27" s="284">
        <f t="shared" si="0"/>
        <v>0.78682811687928322</v>
      </c>
      <c r="E27" s="284">
        <f t="shared" si="0"/>
        <v>0.81749244783194785</v>
      </c>
    </row>
    <row r="28" spans="1:14" s="49" customFormat="1">
      <c r="A28" s="285">
        <v>45</v>
      </c>
      <c r="B28" s="284">
        <f t="shared" si="1"/>
        <v>0.88333407096555727</v>
      </c>
      <c r="C28" s="284">
        <f t="shared" si="2"/>
        <v>0.81432010678303213</v>
      </c>
      <c r="D28" s="284">
        <f t="shared" si="0"/>
        <v>0.86220567015025962</v>
      </c>
      <c r="E28" s="284">
        <f t="shared" si="0"/>
        <v>0.88684772211368612</v>
      </c>
    </row>
    <row r="29" spans="1:14" s="49" customFormat="1">
      <c r="A29" s="252">
        <v>50</v>
      </c>
      <c r="B29" s="284">
        <f t="shared" si="1"/>
        <v>0.93743703959560243</v>
      </c>
      <c r="C29" s="284">
        <f t="shared" si="2"/>
        <v>0.88432437079377557</v>
      </c>
      <c r="D29" s="284">
        <f t="shared" si="0"/>
        <v>0.92163217245554829</v>
      </c>
      <c r="E29" s="284">
        <f t="shared" si="0"/>
        <v>0.94001547251075546</v>
      </c>
    </row>
    <row r="30" spans="1:14" s="49" customFormat="1">
      <c r="A30" s="252">
        <v>51</v>
      </c>
      <c r="B30" s="284">
        <f t="shared" si="1"/>
        <v>1</v>
      </c>
      <c r="C30" s="284">
        <f t="shared" si="2"/>
        <v>1</v>
      </c>
      <c r="D30" s="284">
        <f t="shared" si="0"/>
        <v>1</v>
      </c>
      <c r="E30" s="284">
        <f t="shared" si="0"/>
        <v>1</v>
      </c>
    </row>
    <row r="31" spans="1:14" s="49" customFormat="1">
      <c r="A31" s="252">
        <v>55</v>
      </c>
      <c r="B31" s="284">
        <f t="shared" si="1"/>
        <v>1</v>
      </c>
      <c r="C31" s="284">
        <f t="shared" si="2"/>
        <v>1</v>
      </c>
      <c r="D31" s="284">
        <f t="shared" si="0"/>
        <v>1</v>
      </c>
      <c r="E31" s="284">
        <f t="shared" si="0"/>
        <v>1</v>
      </c>
    </row>
    <row r="32" spans="1:14" s="49" customFormat="1">
      <c r="A32" s="252">
        <v>60</v>
      </c>
      <c r="B32" s="284">
        <f t="shared" si="1"/>
        <v>1</v>
      </c>
      <c r="C32" s="284">
        <f t="shared" si="2"/>
        <v>1</v>
      </c>
      <c r="D32" s="284">
        <f t="shared" si="0"/>
        <v>1</v>
      </c>
      <c r="E32" s="284">
        <f t="shared" si="0"/>
        <v>1</v>
      </c>
    </row>
    <row r="33" spans="1:14" s="49" customFormat="1">
      <c r="A33" s="252">
        <v>70</v>
      </c>
      <c r="B33" s="284">
        <f t="shared" si="1"/>
        <v>1</v>
      </c>
      <c r="C33" s="284">
        <f t="shared" si="2"/>
        <v>1</v>
      </c>
      <c r="D33" s="284">
        <f t="shared" si="0"/>
        <v>1</v>
      </c>
      <c r="E33" s="284">
        <f t="shared" si="0"/>
        <v>1</v>
      </c>
    </row>
    <row r="34" spans="1:14" s="49" customFormat="1">
      <c r="A34" s="252">
        <v>80</v>
      </c>
      <c r="B34" s="284">
        <f t="shared" si="1"/>
        <v>1</v>
      </c>
      <c r="C34" s="284">
        <f t="shared" si="2"/>
        <v>1</v>
      </c>
      <c r="D34" s="284">
        <f t="shared" si="0"/>
        <v>1</v>
      </c>
      <c r="E34" s="284">
        <f t="shared" si="0"/>
        <v>1</v>
      </c>
    </row>
    <row r="35" spans="1:14" s="49" customFormat="1">
      <c r="A35" s="253">
        <v>100</v>
      </c>
      <c r="B35" s="284">
        <f t="shared" si="1"/>
        <v>1</v>
      </c>
      <c r="C35" s="284">
        <f t="shared" si="2"/>
        <v>1</v>
      </c>
      <c r="D35" s="284">
        <f t="shared" si="0"/>
        <v>1</v>
      </c>
      <c r="E35" s="284">
        <f t="shared" si="0"/>
        <v>1</v>
      </c>
    </row>
    <row r="36" spans="1:14" s="49" customFormat="1">
      <c r="A36" s="270" t="s">
        <v>89</v>
      </c>
      <c r="B36" s="271">
        <v>2</v>
      </c>
      <c r="C36" s="271">
        <v>2</v>
      </c>
      <c r="D36" s="271">
        <v>3</v>
      </c>
      <c r="E36" s="271">
        <v>4</v>
      </c>
    </row>
    <row r="37" spans="1:14" s="49" customFormat="1">
      <c r="A37" s="270" t="s">
        <v>71</v>
      </c>
      <c r="B37" s="271">
        <v>4</v>
      </c>
      <c r="C37" s="271">
        <v>5</v>
      </c>
      <c r="D37" s="271">
        <v>5</v>
      </c>
      <c r="E37" s="271">
        <v>5</v>
      </c>
    </row>
    <row r="38" spans="1:14" s="49" customFormat="1" ht="13.5">
      <c r="A38" s="272" t="s">
        <v>90</v>
      </c>
      <c r="B38" s="273">
        <v>2</v>
      </c>
      <c r="C38" s="273">
        <v>2</v>
      </c>
      <c r="D38" s="273">
        <v>2</v>
      </c>
      <c r="E38" s="273">
        <v>1</v>
      </c>
    </row>
    <row r="39" spans="1:14" s="49" customFormat="1">
      <c r="A39" s="49" t="s">
        <v>88</v>
      </c>
    </row>
    <row r="40" spans="1:14" s="49" customFormat="1">
      <c r="A40" s="153"/>
      <c r="B40" s="153"/>
      <c r="C40" s="153"/>
      <c r="D40" s="153"/>
      <c r="E40" s="153"/>
      <c r="F40" s="153"/>
      <c r="G40" s="153"/>
      <c r="H40" s="153"/>
      <c r="I40" s="153"/>
      <c r="J40" s="153"/>
      <c r="K40" s="153"/>
      <c r="L40" s="153"/>
      <c r="M40" s="153"/>
      <c r="N40" s="153"/>
    </row>
    <row r="41" spans="1:14" s="49" customFormat="1">
      <c r="A41" s="50"/>
      <c r="B41" s="50"/>
      <c r="C41" s="50"/>
      <c r="D41" s="50"/>
      <c r="E41" s="50"/>
      <c r="F41" s="50"/>
      <c r="G41" s="50"/>
      <c r="H41" s="50"/>
      <c r="I41" s="50"/>
      <c r="J41" s="50"/>
      <c r="K41" s="50"/>
      <c r="L41" s="50"/>
      <c r="M41" s="50"/>
      <c r="N41" s="50"/>
    </row>
    <row r="42" spans="1:14" s="49" customFormat="1">
      <c r="A42" s="56"/>
      <c r="B42" s="56"/>
      <c r="C42" s="56"/>
      <c r="D42" s="56"/>
      <c r="E42" s="56"/>
      <c r="F42" s="184"/>
      <c r="G42" s="56"/>
      <c r="H42" s="274" t="s">
        <v>1188</v>
      </c>
      <c r="I42" s="274"/>
      <c r="J42" s="274"/>
      <c r="K42" s="154"/>
      <c r="L42" s="154"/>
      <c r="M42" s="154"/>
      <c r="N42" s="154"/>
    </row>
    <row r="43" spans="1:14" s="50" customFormat="1" ht="13">
      <c r="A43" s="275" t="s">
        <v>902</v>
      </c>
      <c r="B43" s="56"/>
      <c r="C43" s="56"/>
      <c r="D43" s="56"/>
      <c r="E43" s="56"/>
      <c r="F43" s="56"/>
      <c r="G43" s="56"/>
      <c r="H43" s="56"/>
      <c r="I43" s="56"/>
      <c r="J43" s="56"/>
      <c r="L43" s="58" t="s">
        <v>901</v>
      </c>
      <c r="M43" s="50" t="s">
        <v>1026</v>
      </c>
    </row>
    <row r="44" spans="1:14" s="49" customFormat="1" ht="13">
      <c r="A44" s="258" t="s">
        <v>896</v>
      </c>
      <c r="B44" s="258" t="s">
        <v>897</v>
      </c>
      <c r="C44" s="258" t="s">
        <v>898</v>
      </c>
      <c r="D44" s="255" t="s">
        <v>890</v>
      </c>
      <c r="E44" s="258" t="s">
        <v>891</v>
      </c>
      <c r="F44" s="258" t="s">
        <v>892</v>
      </c>
      <c r="G44" s="276" t="s">
        <v>893</v>
      </c>
      <c r="H44" s="257" t="s">
        <v>894</v>
      </c>
      <c r="I44" s="257" t="s">
        <v>899</v>
      </c>
      <c r="J44" s="277" t="s">
        <v>865</v>
      </c>
      <c r="K44" s="153"/>
      <c r="L44" s="242" t="s">
        <v>870</v>
      </c>
      <c r="M44" s="286" t="s">
        <v>857</v>
      </c>
      <c r="N44" s="287" t="s">
        <v>900</v>
      </c>
    </row>
    <row r="45" spans="1:14" s="49" customFormat="1" ht="12.5">
      <c r="A45" s="262">
        <v>1</v>
      </c>
      <c r="B45" s="262">
        <v>1</v>
      </c>
      <c r="C45" s="262" t="s">
        <v>1024</v>
      </c>
      <c r="D45" s="262">
        <v>-0.8</v>
      </c>
      <c r="E45" s="262">
        <v>1.7992999999999999</v>
      </c>
      <c r="F45" s="261">
        <v>1.9599999999999999E-2</v>
      </c>
      <c r="G45" s="278">
        <v>1.2211053932890719</v>
      </c>
      <c r="H45" s="184">
        <v>0.87</v>
      </c>
      <c r="I45" s="279">
        <v>1.1000000000000001</v>
      </c>
      <c r="J45" s="184">
        <f>G45*H45*I45</f>
        <v>1.1685978613776418</v>
      </c>
      <c r="L45" s="243">
        <v>50</v>
      </c>
      <c r="M45" s="194">
        <f t="shared" ref="M45:M84" si="3">D45+E45*COS((F45*L45)-(J45))</f>
        <v>0.96739494928156056</v>
      </c>
      <c r="N45" s="193">
        <f>IF(M45&lt;0,0,IF(M45&gt;1,1,M45))</f>
        <v>0.96739494928156056</v>
      </c>
    </row>
    <row r="46" spans="1:14" s="49" customFormat="1" ht="12.5">
      <c r="A46" s="262">
        <v>1</v>
      </c>
      <c r="B46" s="262">
        <v>1</v>
      </c>
      <c r="C46" s="262" t="s">
        <v>895</v>
      </c>
      <c r="D46" s="262">
        <v>-0.8</v>
      </c>
      <c r="E46" s="262">
        <v>1.7992999999999999</v>
      </c>
      <c r="F46" s="261">
        <v>1.9599999999999999E-2</v>
      </c>
      <c r="G46" s="278">
        <v>1.2211053932890719</v>
      </c>
      <c r="H46" s="184">
        <v>0.87</v>
      </c>
      <c r="I46" s="279">
        <v>1</v>
      </c>
      <c r="J46" s="184">
        <f t="shared" ref="J46:J84" si="4">G46*H46*I46</f>
        <v>1.0623616921614925</v>
      </c>
      <c r="L46" s="243">
        <v>50</v>
      </c>
      <c r="M46" s="194">
        <f t="shared" si="3"/>
        <v>0.99320071972056767</v>
      </c>
      <c r="N46" s="193">
        <f t="shared" ref="N46:N84" si="5">IF(M46&lt;0,0,IF(M46&gt;1,1,M46))</f>
        <v>0.99320071972056767</v>
      </c>
    </row>
    <row r="47" spans="1:14" s="49" customFormat="1" ht="12.5">
      <c r="A47" s="262">
        <v>1</v>
      </c>
      <c r="B47" s="262">
        <v>2</v>
      </c>
      <c r="C47" s="262" t="s">
        <v>1024</v>
      </c>
      <c r="D47" s="262">
        <v>-0.8</v>
      </c>
      <c r="E47" s="262">
        <v>1.7992999999999999</v>
      </c>
      <c r="F47" s="261">
        <v>1.9599999999999999E-2</v>
      </c>
      <c r="G47" s="278">
        <v>1.2211053932890719</v>
      </c>
      <c r="H47" s="184">
        <v>1.06</v>
      </c>
      <c r="I47" s="279">
        <v>1.1000000000000001</v>
      </c>
      <c r="J47" s="184">
        <f t="shared" si="4"/>
        <v>1.4238088885750579</v>
      </c>
      <c r="L47" s="243">
        <v>50</v>
      </c>
      <c r="M47" s="194">
        <f t="shared" si="3"/>
        <v>0.82498876099158469</v>
      </c>
      <c r="N47" s="193">
        <f t="shared" si="5"/>
        <v>0.82498876099158469</v>
      </c>
    </row>
    <row r="48" spans="1:14" s="49" customFormat="1" ht="12.5">
      <c r="A48" s="262">
        <v>1</v>
      </c>
      <c r="B48" s="262">
        <v>2</v>
      </c>
      <c r="C48" s="262" t="s">
        <v>895</v>
      </c>
      <c r="D48" s="262">
        <v>-0.8</v>
      </c>
      <c r="E48" s="262">
        <v>1.7992999999999999</v>
      </c>
      <c r="F48" s="261">
        <v>1.9599999999999999E-2</v>
      </c>
      <c r="G48" s="278">
        <v>1.2211053932890719</v>
      </c>
      <c r="H48" s="184">
        <v>1.06</v>
      </c>
      <c r="I48" s="279">
        <v>1</v>
      </c>
      <c r="J48" s="184">
        <f t="shared" si="4"/>
        <v>1.2943717168864162</v>
      </c>
      <c r="L48" s="243">
        <v>50</v>
      </c>
      <c r="M48" s="194">
        <f t="shared" si="3"/>
        <v>0.91111782506924932</v>
      </c>
      <c r="N48" s="193">
        <f t="shared" si="5"/>
        <v>0.91111782506924932</v>
      </c>
    </row>
    <row r="49" spans="1:14" s="49" customFormat="1" ht="12.5">
      <c r="A49" s="262">
        <v>1</v>
      </c>
      <c r="B49" s="262">
        <v>3</v>
      </c>
      <c r="C49" s="262" t="s">
        <v>1024</v>
      </c>
      <c r="D49" s="262">
        <v>-0.8</v>
      </c>
      <c r="E49" s="262">
        <v>1.7992999999999999</v>
      </c>
      <c r="F49" s="261">
        <v>1.9599999999999999E-2</v>
      </c>
      <c r="G49" s="278">
        <v>1.2211053932890719</v>
      </c>
      <c r="H49" s="184">
        <v>1</v>
      </c>
      <c r="I49" s="279">
        <v>1.1000000000000001</v>
      </c>
      <c r="J49" s="184">
        <f t="shared" si="4"/>
        <v>1.3432159326179791</v>
      </c>
      <c r="L49" s="243">
        <v>50</v>
      </c>
      <c r="M49" s="194">
        <f t="shared" si="3"/>
        <v>0.88191204109267263</v>
      </c>
      <c r="N49" s="193">
        <f t="shared" si="5"/>
        <v>0.88191204109267263</v>
      </c>
    </row>
    <row r="50" spans="1:14" s="49" customFormat="1" ht="12.5">
      <c r="A50" s="262">
        <v>1</v>
      </c>
      <c r="B50" s="262">
        <v>3</v>
      </c>
      <c r="C50" s="262" t="s">
        <v>895</v>
      </c>
      <c r="D50" s="262">
        <v>-0.8</v>
      </c>
      <c r="E50" s="262">
        <v>1.7992999999999999</v>
      </c>
      <c r="F50" s="261">
        <v>1.9599999999999999E-2</v>
      </c>
      <c r="G50" s="278">
        <v>1.2211053932890719</v>
      </c>
      <c r="H50" s="184">
        <v>1</v>
      </c>
      <c r="I50" s="279">
        <v>1</v>
      </c>
      <c r="J50" s="184">
        <f t="shared" si="4"/>
        <v>1.2211053932890719</v>
      </c>
      <c r="L50" s="243">
        <v>50</v>
      </c>
      <c r="M50" s="194">
        <f t="shared" si="3"/>
        <v>0.94725457560786541</v>
      </c>
      <c r="N50" s="193">
        <f t="shared" si="5"/>
        <v>0.94725457560786541</v>
      </c>
    </row>
    <row r="51" spans="1:14" s="49" customFormat="1" ht="12.5">
      <c r="A51" s="262">
        <v>1</v>
      </c>
      <c r="B51" s="262">
        <v>4</v>
      </c>
      <c r="C51" s="262" t="s">
        <v>1024</v>
      </c>
      <c r="D51" s="262">
        <v>-0.8</v>
      </c>
      <c r="E51" s="262">
        <v>1.7992999999999999</v>
      </c>
      <c r="F51" s="261">
        <v>1.9599999999999999E-2</v>
      </c>
      <c r="G51" s="278">
        <v>1.2211053932890719</v>
      </c>
      <c r="H51" s="184">
        <v>1.1599999999999999</v>
      </c>
      <c r="I51" s="279">
        <v>1.1000000000000001</v>
      </c>
      <c r="J51" s="184">
        <f t="shared" si="4"/>
        <v>1.5581304818368555</v>
      </c>
      <c r="L51" s="243">
        <v>50</v>
      </c>
      <c r="M51" s="194">
        <f t="shared" si="3"/>
        <v>0.70688807086350081</v>
      </c>
      <c r="N51" s="193">
        <f t="shared" si="5"/>
        <v>0.70688807086350081</v>
      </c>
    </row>
    <row r="52" spans="1:14" s="49" customFormat="1" ht="12.5">
      <c r="A52" s="262">
        <v>1</v>
      </c>
      <c r="B52" s="262">
        <v>4</v>
      </c>
      <c r="C52" s="262" t="s">
        <v>895</v>
      </c>
      <c r="D52" s="262">
        <v>-0.8</v>
      </c>
      <c r="E52" s="262">
        <v>1.7992999999999999</v>
      </c>
      <c r="F52" s="261">
        <v>1.9599999999999999E-2</v>
      </c>
      <c r="G52" s="278">
        <v>1.2211053932890719</v>
      </c>
      <c r="H52" s="184">
        <v>1.1599999999999999</v>
      </c>
      <c r="I52" s="279">
        <v>1</v>
      </c>
      <c r="J52" s="184">
        <f t="shared" si="4"/>
        <v>1.4164822562153232</v>
      </c>
      <c r="L52" s="243">
        <v>50</v>
      </c>
      <c r="M52" s="194">
        <f t="shared" si="3"/>
        <v>0.83060556350696824</v>
      </c>
      <c r="N52" s="193">
        <f t="shared" si="5"/>
        <v>0.83060556350696824</v>
      </c>
    </row>
    <row r="53" spans="1:14" s="49" customFormat="1" ht="12.5">
      <c r="A53" s="262">
        <v>1</v>
      </c>
      <c r="B53" s="262">
        <v>5</v>
      </c>
      <c r="C53" s="262" t="s">
        <v>1024</v>
      </c>
      <c r="D53" s="262">
        <v>-0.8</v>
      </c>
      <c r="E53" s="262">
        <v>1.7992999999999999</v>
      </c>
      <c r="F53" s="261">
        <v>1.9599999999999999E-2</v>
      </c>
      <c r="G53" s="278">
        <v>1.2211053932890719</v>
      </c>
      <c r="H53" s="184">
        <v>1.25</v>
      </c>
      <c r="I53" s="279">
        <v>1.1000000000000001</v>
      </c>
      <c r="J53" s="184">
        <f t="shared" si="4"/>
        <v>1.6790199157724741</v>
      </c>
      <c r="L53" s="243">
        <v>50</v>
      </c>
      <c r="M53" s="194">
        <f t="shared" si="3"/>
        <v>0.57731594214218185</v>
      </c>
      <c r="N53" s="193">
        <f t="shared" si="5"/>
        <v>0.57731594214218185</v>
      </c>
    </row>
    <row r="54" spans="1:14" s="49" customFormat="1" ht="12.5">
      <c r="A54" s="262">
        <v>1</v>
      </c>
      <c r="B54" s="262">
        <v>5</v>
      </c>
      <c r="C54" s="262" t="s">
        <v>895</v>
      </c>
      <c r="D54" s="262">
        <v>-0.8</v>
      </c>
      <c r="E54" s="262">
        <v>1.7992999999999999</v>
      </c>
      <c r="F54" s="261">
        <v>1.9599999999999999E-2</v>
      </c>
      <c r="G54" s="278">
        <v>1.2211053932890719</v>
      </c>
      <c r="H54" s="184">
        <v>1.25</v>
      </c>
      <c r="I54" s="279">
        <v>1</v>
      </c>
      <c r="J54" s="184">
        <f t="shared" si="4"/>
        <v>1.5263817416113399</v>
      </c>
      <c r="L54" s="243">
        <v>50</v>
      </c>
      <c r="M54" s="194">
        <f t="shared" si="3"/>
        <v>0.73734019162545006</v>
      </c>
      <c r="N54" s="193">
        <f t="shared" si="5"/>
        <v>0.73734019162545006</v>
      </c>
    </row>
    <row r="55" spans="1:14" s="49" customFormat="1" ht="12.5">
      <c r="A55" s="262">
        <v>2</v>
      </c>
      <c r="B55" s="262">
        <v>1</v>
      </c>
      <c r="C55" s="262" t="s">
        <v>1024</v>
      </c>
      <c r="D55" s="262">
        <v>-0.8</v>
      </c>
      <c r="E55" s="262">
        <v>1.7992999999999999</v>
      </c>
      <c r="F55" s="261">
        <v>1.9599999999999999E-2</v>
      </c>
      <c r="G55" s="278">
        <v>1.2211053932890719</v>
      </c>
      <c r="H55" s="184">
        <v>0.87</v>
      </c>
      <c r="I55" s="279">
        <v>1.1000000000000001</v>
      </c>
      <c r="J55" s="184">
        <f t="shared" si="4"/>
        <v>1.1685978613776418</v>
      </c>
      <c r="L55" s="243">
        <v>50</v>
      </c>
      <c r="M55" s="194">
        <f t="shared" si="3"/>
        <v>0.96739494928156056</v>
      </c>
      <c r="N55" s="193">
        <f t="shared" si="5"/>
        <v>0.96739494928156056</v>
      </c>
    </row>
    <row r="56" spans="1:14" s="49" customFormat="1" ht="12.5">
      <c r="A56" s="262">
        <v>2</v>
      </c>
      <c r="B56" s="262">
        <v>1</v>
      </c>
      <c r="C56" s="262" t="s">
        <v>895</v>
      </c>
      <c r="D56" s="262">
        <v>-0.8</v>
      </c>
      <c r="E56" s="262">
        <v>1.7992999999999999</v>
      </c>
      <c r="F56" s="261">
        <v>1.9599999999999999E-2</v>
      </c>
      <c r="G56" s="278">
        <v>1.0715386950916088</v>
      </c>
      <c r="H56" s="184">
        <v>0.87</v>
      </c>
      <c r="I56" s="279">
        <v>1</v>
      </c>
      <c r="J56" s="184">
        <f t="shared" si="4"/>
        <v>0.93223866472969963</v>
      </c>
      <c r="L56" s="243">
        <v>50</v>
      </c>
      <c r="M56" s="194">
        <f t="shared" si="3"/>
        <v>0.99724815785898269</v>
      </c>
      <c r="N56" s="193">
        <f t="shared" si="5"/>
        <v>0.99724815785898269</v>
      </c>
    </row>
    <row r="57" spans="1:14" s="49" customFormat="1" ht="12.5">
      <c r="A57" s="262">
        <v>2</v>
      </c>
      <c r="B57" s="262">
        <v>2</v>
      </c>
      <c r="C57" s="262" t="s">
        <v>1024</v>
      </c>
      <c r="D57" s="262">
        <v>-0.8</v>
      </c>
      <c r="E57" s="262">
        <v>1.7992999999999999</v>
      </c>
      <c r="F57" s="261">
        <v>1.9599999999999999E-2</v>
      </c>
      <c r="G57" s="278">
        <v>1.0715386950916088</v>
      </c>
      <c r="H57" s="184">
        <v>1.06</v>
      </c>
      <c r="I57" s="279">
        <v>1.1000000000000001</v>
      </c>
      <c r="J57" s="184">
        <f t="shared" si="4"/>
        <v>1.2494141184768159</v>
      </c>
      <c r="L57" s="243">
        <v>50</v>
      </c>
      <c r="M57" s="194">
        <f t="shared" si="3"/>
        <v>0.934393858237343</v>
      </c>
      <c r="N57" s="193">
        <f t="shared" si="5"/>
        <v>0.934393858237343</v>
      </c>
    </row>
    <row r="58" spans="1:14" s="49" customFormat="1" ht="12.5">
      <c r="A58" s="262">
        <v>2</v>
      </c>
      <c r="B58" s="262">
        <v>2</v>
      </c>
      <c r="C58" s="262" t="s">
        <v>895</v>
      </c>
      <c r="D58" s="262">
        <v>-0.8</v>
      </c>
      <c r="E58" s="262">
        <v>1.7992999999999999</v>
      </c>
      <c r="F58" s="261">
        <v>1.9599999999999999E-2</v>
      </c>
      <c r="G58" s="278">
        <v>1.0715386950916088</v>
      </c>
      <c r="H58" s="184">
        <v>1.06</v>
      </c>
      <c r="I58" s="279">
        <v>1</v>
      </c>
      <c r="J58" s="184">
        <f t="shared" si="4"/>
        <v>1.1358310167971053</v>
      </c>
      <c r="L58" s="243">
        <v>50</v>
      </c>
      <c r="M58" s="194">
        <f t="shared" si="3"/>
        <v>0.97749769689321986</v>
      </c>
      <c r="N58" s="193">
        <f t="shared" si="5"/>
        <v>0.97749769689321986</v>
      </c>
    </row>
    <row r="59" spans="1:14" s="49" customFormat="1" ht="12.5">
      <c r="A59" s="262">
        <v>2</v>
      </c>
      <c r="B59" s="262">
        <v>3</v>
      </c>
      <c r="C59" s="262" t="s">
        <v>1024</v>
      </c>
      <c r="D59" s="262">
        <v>-0.8</v>
      </c>
      <c r="E59" s="262">
        <v>1.7992999999999999</v>
      </c>
      <c r="F59" s="261">
        <v>1.9599999999999999E-2</v>
      </c>
      <c r="G59" s="278">
        <v>1.0715386950916088</v>
      </c>
      <c r="H59" s="184">
        <v>1</v>
      </c>
      <c r="I59" s="279">
        <v>1.1000000000000001</v>
      </c>
      <c r="J59" s="184">
        <f t="shared" si="4"/>
        <v>1.1786925646007698</v>
      </c>
      <c r="L59" s="243">
        <v>50</v>
      </c>
      <c r="M59" s="194">
        <f t="shared" si="3"/>
        <v>0.96389964952648377</v>
      </c>
      <c r="N59" s="193">
        <f t="shared" si="5"/>
        <v>0.96389964952648377</v>
      </c>
    </row>
    <row r="60" spans="1:14" s="49" customFormat="1" ht="12.5">
      <c r="A60" s="262">
        <v>2</v>
      </c>
      <c r="B60" s="262">
        <v>3</v>
      </c>
      <c r="C60" s="262" t="s">
        <v>895</v>
      </c>
      <c r="D60" s="262">
        <v>-0.8</v>
      </c>
      <c r="E60" s="262">
        <v>1.7992999999999999</v>
      </c>
      <c r="F60" s="261">
        <v>1.9599999999999999E-2</v>
      </c>
      <c r="G60" s="278">
        <v>1.0715386950916088</v>
      </c>
      <c r="H60" s="184">
        <v>1</v>
      </c>
      <c r="I60" s="279">
        <v>1</v>
      </c>
      <c r="J60" s="184">
        <f t="shared" si="4"/>
        <v>1.0715386950916088</v>
      </c>
      <c r="L60" s="243">
        <v>50</v>
      </c>
      <c r="M60" s="194">
        <f t="shared" si="3"/>
        <v>0.99176679581057026</v>
      </c>
      <c r="N60" s="193">
        <f t="shared" si="5"/>
        <v>0.99176679581057026</v>
      </c>
    </row>
    <row r="61" spans="1:14" s="49" customFormat="1" ht="12.5">
      <c r="A61" s="262">
        <v>2</v>
      </c>
      <c r="B61" s="262">
        <v>4</v>
      </c>
      <c r="C61" s="262" t="s">
        <v>1024</v>
      </c>
      <c r="D61" s="262">
        <v>-0.8</v>
      </c>
      <c r="E61" s="262">
        <v>1.7992999999999999</v>
      </c>
      <c r="F61" s="261">
        <v>1.9599999999999999E-2</v>
      </c>
      <c r="G61" s="278">
        <v>1.0715386950916088</v>
      </c>
      <c r="H61" s="184">
        <v>1.1599999999999999</v>
      </c>
      <c r="I61" s="279">
        <v>1.1000000000000001</v>
      </c>
      <c r="J61" s="184">
        <f t="shared" si="4"/>
        <v>1.3672833749368929</v>
      </c>
      <c r="L61" s="243">
        <v>50</v>
      </c>
      <c r="M61" s="194">
        <f t="shared" si="3"/>
        <v>0.86604109811769092</v>
      </c>
      <c r="N61" s="193">
        <f t="shared" si="5"/>
        <v>0.86604109811769092</v>
      </c>
    </row>
    <row r="62" spans="1:14" s="49" customFormat="1" ht="12.5">
      <c r="A62" s="262">
        <v>2</v>
      </c>
      <c r="B62" s="262">
        <v>4</v>
      </c>
      <c r="C62" s="262" t="s">
        <v>895</v>
      </c>
      <c r="D62" s="262">
        <v>-0.8</v>
      </c>
      <c r="E62" s="262">
        <v>1.7992999999999999</v>
      </c>
      <c r="F62" s="261">
        <v>1.9599999999999999E-2</v>
      </c>
      <c r="G62" s="278">
        <v>1.0715386950916088</v>
      </c>
      <c r="H62" s="184">
        <v>1.1599999999999999</v>
      </c>
      <c r="I62" s="279">
        <v>1</v>
      </c>
      <c r="J62" s="184">
        <f t="shared" si="4"/>
        <v>1.2429848863062662</v>
      </c>
      <c r="L62" s="243">
        <v>50</v>
      </c>
      <c r="M62" s="194">
        <f t="shared" si="3"/>
        <v>0.93743703959560243</v>
      </c>
      <c r="N62" s="193">
        <f t="shared" si="5"/>
        <v>0.93743703959560243</v>
      </c>
    </row>
    <row r="63" spans="1:14" s="49" customFormat="1" ht="12.5">
      <c r="A63" s="262">
        <v>2</v>
      </c>
      <c r="B63" s="262">
        <v>5</v>
      </c>
      <c r="C63" s="262" t="s">
        <v>1024</v>
      </c>
      <c r="D63" s="262">
        <v>-0.8</v>
      </c>
      <c r="E63" s="262">
        <v>1.7992999999999999</v>
      </c>
      <c r="F63" s="261">
        <v>1.9599999999999999E-2</v>
      </c>
      <c r="G63" s="278">
        <v>1.0715386950916088</v>
      </c>
      <c r="H63" s="184">
        <v>1.25</v>
      </c>
      <c r="I63" s="279">
        <v>1.1000000000000001</v>
      </c>
      <c r="J63" s="184">
        <f t="shared" si="4"/>
        <v>1.4733657057509622</v>
      </c>
      <c r="L63" s="243">
        <v>50</v>
      </c>
      <c r="M63" s="194">
        <f t="shared" si="3"/>
        <v>0.78472245577131106</v>
      </c>
      <c r="N63" s="193">
        <f t="shared" si="5"/>
        <v>0.78472245577131106</v>
      </c>
    </row>
    <row r="64" spans="1:14" s="49" customFormat="1" ht="12.5">
      <c r="A64" s="262">
        <v>2</v>
      </c>
      <c r="B64" s="262">
        <v>5</v>
      </c>
      <c r="C64" s="262" t="s">
        <v>895</v>
      </c>
      <c r="D64" s="262">
        <v>-0.8</v>
      </c>
      <c r="E64" s="262">
        <v>1.7992999999999999</v>
      </c>
      <c r="F64" s="261">
        <v>1.9599999999999999E-2</v>
      </c>
      <c r="G64" s="278">
        <v>1.0715386950916088</v>
      </c>
      <c r="H64" s="184">
        <v>1.25</v>
      </c>
      <c r="I64" s="279">
        <v>1</v>
      </c>
      <c r="J64" s="184">
        <f t="shared" si="4"/>
        <v>1.339423368864511</v>
      </c>
      <c r="L64" s="243">
        <v>50</v>
      </c>
      <c r="M64" s="194">
        <f t="shared" si="3"/>
        <v>0.88432437079377557</v>
      </c>
      <c r="N64" s="193">
        <f t="shared" si="5"/>
        <v>0.88432437079377557</v>
      </c>
    </row>
    <row r="65" spans="1:14" s="49" customFormat="1" ht="12.5">
      <c r="A65" s="262">
        <v>3</v>
      </c>
      <c r="B65" s="262">
        <v>1</v>
      </c>
      <c r="C65" s="262" t="s">
        <v>1024</v>
      </c>
      <c r="D65" s="262">
        <v>-0.8</v>
      </c>
      <c r="E65" s="262">
        <v>1.7992999999999999</v>
      </c>
      <c r="F65" s="261">
        <v>1.9599999999999999E-2</v>
      </c>
      <c r="G65" s="278">
        <v>1.0199111676417574</v>
      </c>
      <c r="H65" s="184">
        <v>0.87</v>
      </c>
      <c r="I65" s="279">
        <v>1.1000000000000001</v>
      </c>
      <c r="J65" s="184">
        <f t="shared" si="4"/>
        <v>0.97605498743316188</v>
      </c>
      <c r="L65" s="243">
        <v>50</v>
      </c>
      <c r="M65" s="194">
        <f t="shared" si="3"/>
        <v>0.99928599865351475</v>
      </c>
      <c r="N65" s="193">
        <f t="shared" si="5"/>
        <v>0.99928599865351475</v>
      </c>
    </row>
    <row r="66" spans="1:14" s="49" customFormat="1" ht="12.5">
      <c r="A66" s="262">
        <v>3</v>
      </c>
      <c r="B66" s="262">
        <v>1</v>
      </c>
      <c r="C66" s="262" t="s">
        <v>895</v>
      </c>
      <c r="D66" s="262">
        <v>-0.8</v>
      </c>
      <c r="E66" s="262">
        <v>1.7992999999999999</v>
      </c>
      <c r="F66" s="261">
        <v>1.9599999999999999E-2</v>
      </c>
      <c r="G66" s="278">
        <v>1.0199111676417574</v>
      </c>
      <c r="H66" s="184">
        <v>0.87</v>
      </c>
      <c r="I66" s="279">
        <v>1</v>
      </c>
      <c r="J66" s="184">
        <f t="shared" si="4"/>
        <v>0.88732271584832889</v>
      </c>
      <c r="L66" s="243">
        <v>50</v>
      </c>
      <c r="M66" s="194">
        <f t="shared" si="3"/>
        <v>0.9915783642656224</v>
      </c>
      <c r="N66" s="193">
        <f t="shared" si="5"/>
        <v>0.9915783642656224</v>
      </c>
    </row>
    <row r="67" spans="1:14" s="49" customFormat="1" ht="12.5">
      <c r="A67" s="262">
        <v>3</v>
      </c>
      <c r="B67" s="262">
        <v>2</v>
      </c>
      <c r="C67" s="262" t="s">
        <v>1024</v>
      </c>
      <c r="D67" s="262">
        <v>-0.8</v>
      </c>
      <c r="E67" s="262">
        <v>1.7992999999999999</v>
      </c>
      <c r="F67" s="261">
        <v>1.9599999999999999E-2</v>
      </c>
      <c r="G67" s="278">
        <v>1.0199111676417574</v>
      </c>
      <c r="H67" s="184">
        <v>1.06</v>
      </c>
      <c r="I67" s="279">
        <v>1.1000000000000001</v>
      </c>
      <c r="J67" s="184">
        <f t="shared" si="4"/>
        <v>1.1892164214702894</v>
      </c>
      <c r="L67" s="243">
        <v>50</v>
      </c>
      <c r="M67" s="194">
        <f t="shared" si="3"/>
        <v>0.96006439070952521</v>
      </c>
      <c r="N67" s="193">
        <f t="shared" si="5"/>
        <v>0.96006439070952521</v>
      </c>
    </row>
    <row r="68" spans="1:14" s="49" customFormat="1" ht="12.5">
      <c r="A68" s="262">
        <v>3</v>
      </c>
      <c r="B68" s="262">
        <v>2</v>
      </c>
      <c r="C68" s="262" t="s">
        <v>895</v>
      </c>
      <c r="D68" s="262">
        <v>-0.8</v>
      </c>
      <c r="E68" s="262">
        <v>1.7992999999999999</v>
      </c>
      <c r="F68" s="261">
        <v>1.9599999999999999E-2</v>
      </c>
      <c r="G68" s="278">
        <v>1.0199111676417574</v>
      </c>
      <c r="H68" s="184">
        <v>1.06</v>
      </c>
      <c r="I68" s="279">
        <v>1</v>
      </c>
      <c r="J68" s="184">
        <f t="shared" si="4"/>
        <v>1.0811058377002629</v>
      </c>
      <c r="L68" s="243">
        <v>50</v>
      </c>
      <c r="M68" s="194">
        <f t="shared" si="3"/>
        <v>0.99011125803937827</v>
      </c>
      <c r="N68" s="193">
        <f t="shared" si="5"/>
        <v>0.99011125803937827</v>
      </c>
    </row>
    <row r="69" spans="1:14" s="49" customFormat="1" ht="12.5">
      <c r="A69" s="262">
        <v>3</v>
      </c>
      <c r="B69" s="262">
        <v>3</v>
      </c>
      <c r="C69" s="262" t="s">
        <v>1024</v>
      </c>
      <c r="D69" s="262">
        <v>-0.8</v>
      </c>
      <c r="E69" s="262">
        <v>1.7992999999999999</v>
      </c>
      <c r="F69" s="261">
        <v>1.9599999999999999E-2</v>
      </c>
      <c r="G69" s="278">
        <v>1.0199111676417574</v>
      </c>
      <c r="H69" s="184">
        <v>1</v>
      </c>
      <c r="I69" s="279">
        <v>1.1000000000000001</v>
      </c>
      <c r="J69" s="184">
        <f t="shared" si="4"/>
        <v>1.1219022844059332</v>
      </c>
      <c r="L69" s="243">
        <v>50</v>
      </c>
      <c r="M69" s="194">
        <f t="shared" si="3"/>
        <v>0.98121479314771554</v>
      </c>
      <c r="N69" s="193">
        <f t="shared" si="5"/>
        <v>0.98121479314771554</v>
      </c>
    </row>
    <row r="70" spans="1:14" s="49" customFormat="1" ht="12.5">
      <c r="A70" s="262">
        <v>3</v>
      </c>
      <c r="B70" s="262">
        <v>3</v>
      </c>
      <c r="C70" s="262" t="s">
        <v>895</v>
      </c>
      <c r="D70" s="262">
        <v>-0.8</v>
      </c>
      <c r="E70" s="262">
        <v>1.7992999999999999</v>
      </c>
      <c r="F70" s="261">
        <v>1.9599999999999999E-2</v>
      </c>
      <c r="G70" s="278">
        <v>1.0199111676417574</v>
      </c>
      <c r="H70" s="184">
        <v>1</v>
      </c>
      <c r="I70" s="279">
        <v>1</v>
      </c>
      <c r="J70" s="184">
        <f t="shared" si="4"/>
        <v>1.0199111676417574</v>
      </c>
      <c r="L70" s="243">
        <v>50</v>
      </c>
      <c r="M70" s="194">
        <f t="shared" si="3"/>
        <v>0.99786713655916648</v>
      </c>
      <c r="N70" s="193">
        <f t="shared" si="5"/>
        <v>0.99786713655916648</v>
      </c>
    </row>
    <row r="71" spans="1:14" s="49" customFormat="1" ht="12.5">
      <c r="A71" s="262">
        <v>3</v>
      </c>
      <c r="B71" s="262">
        <v>4</v>
      </c>
      <c r="C71" s="262" t="s">
        <v>1024</v>
      </c>
      <c r="D71" s="262">
        <v>-0.8</v>
      </c>
      <c r="E71" s="262">
        <v>1.7992999999999999</v>
      </c>
      <c r="F71" s="261">
        <v>1.9599999999999999E-2</v>
      </c>
      <c r="G71" s="278">
        <v>1.0199111676417574</v>
      </c>
      <c r="H71" s="184">
        <v>1.1599999999999999</v>
      </c>
      <c r="I71" s="279">
        <v>1.1000000000000001</v>
      </c>
      <c r="J71" s="184">
        <f t="shared" si="4"/>
        <v>1.3014066499108825</v>
      </c>
      <c r="L71" s="243">
        <v>50</v>
      </c>
      <c r="M71" s="194">
        <f t="shared" si="3"/>
        <v>0.90716143497531099</v>
      </c>
      <c r="N71" s="193">
        <f t="shared" si="5"/>
        <v>0.90716143497531099</v>
      </c>
    </row>
    <row r="72" spans="1:14" s="49" customFormat="1" ht="12.5">
      <c r="A72" s="262">
        <v>3</v>
      </c>
      <c r="B72" s="262">
        <v>4</v>
      </c>
      <c r="C72" s="262" t="s">
        <v>895</v>
      </c>
      <c r="D72" s="262">
        <v>-0.8</v>
      </c>
      <c r="E72" s="262">
        <v>1.7992999999999999</v>
      </c>
      <c r="F72" s="261">
        <v>1.9599999999999999E-2</v>
      </c>
      <c r="G72" s="278">
        <v>1.0199111676417574</v>
      </c>
      <c r="H72" s="184">
        <v>1.1599999999999999</v>
      </c>
      <c r="I72" s="279">
        <v>1</v>
      </c>
      <c r="J72" s="184">
        <f t="shared" si="4"/>
        <v>1.1830969544644385</v>
      </c>
      <c r="L72" s="243">
        <v>50</v>
      </c>
      <c r="M72" s="194">
        <f t="shared" si="3"/>
        <v>0.96231828354865478</v>
      </c>
      <c r="N72" s="193">
        <f t="shared" si="5"/>
        <v>0.96231828354865478</v>
      </c>
    </row>
    <row r="73" spans="1:14" s="49" customFormat="1" ht="12.5">
      <c r="A73" s="262">
        <v>3</v>
      </c>
      <c r="B73" s="262">
        <v>5</v>
      </c>
      <c r="C73" s="262" t="s">
        <v>1024</v>
      </c>
      <c r="D73" s="262">
        <v>-0.8</v>
      </c>
      <c r="E73" s="262">
        <v>1.7992999999999999</v>
      </c>
      <c r="F73" s="261">
        <v>1.9599999999999999E-2</v>
      </c>
      <c r="G73" s="278">
        <v>1.0199111676417574</v>
      </c>
      <c r="H73" s="184">
        <v>1.25</v>
      </c>
      <c r="I73" s="279">
        <v>1.1000000000000001</v>
      </c>
      <c r="J73" s="184">
        <f t="shared" si="4"/>
        <v>1.4023778555074164</v>
      </c>
      <c r="L73" s="243">
        <v>50</v>
      </c>
      <c r="M73" s="194">
        <f t="shared" si="3"/>
        <v>0.84117169417760618</v>
      </c>
      <c r="N73" s="193">
        <f t="shared" si="5"/>
        <v>0.84117169417760618</v>
      </c>
    </row>
    <row r="74" spans="1:14" s="49" customFormat="1" ht="12.5">
      <c r="A74" s="262">
        <v>3</v>
      </c>
      <c r="B74" s="262">
        <v>5</v>
      </c>
      <c r="C74" s="262" t="s">
        <v>895</v>
      </c>
      <c r="D74" s="262">
        <v>-0.8</v>
      </c>
      <c r="E74" s="262">
        <v>1.7992999999999999</v>
      </c>
      <c r="F74" s="261">
        <v>1.9599999999999999E-2</v>
      </c>
      <c r="G74" s="278">
        <v>1.0199111676417574</v>
      </c>
      <c r="H74" s="184">
        <v>1.25</v>
      </c>
      <c r="I74" s="279">
        <v>1</v>
      </c>
      <c r="J74" s="184">
        <f t="shared" si="4"/>
        <v>1.2748889595521966</v>
      </c>
      <c r="L74" s="243">
        <v>50</v>
      </c>
      <c r="M74" s="194">
        <f t="shared" si="3"/>
        <v>0.92163217245554829</v>
      </c>
      <c r="N74" s="193">
        <f t="shared" si="5"/>
        <v>0.92163217245554829</v>
      </c>
    </row>
    <row r="75" spans="1:14" s="49" customFormat="1" ht="12.5">
      <c r="A75" s="262">
        <v>4</v>
      </c>
      <c r="B75" s="262">
        <v>1</v>
      </c>
      <c r="C75" s="262" t="s">
        <v>1024</v>
      </c>
      <c r="D75" s="262">
        <v>-0.8</v>
      </c>
      <c r="E75" s="262">
        <v>1.7992999999999999</v>
      </c>
      <c r="F75" s="261">
        <v>1.9599999999999999E-2</v>
      </c>
      <c r="G75" s="278">
        <v>0.89993807834392991</v>
      </c>
      <c r="H75" s="184">
        <v>0.87</v>
      </c>
      <c r="I75" s="279">
        <v>1.1000000000000001</v>
      </c>
      <c r="J75" s="184">
        <f t="shared" si="4"/>
        <v>0.86124074097514103</v>
      </c>
      <c r="L75" s="243">
        <v>50</v>
      </c>
      <c r="M75" s="194">
        <f t="shared" si="3"/>
        <v>0.98662645676880589</v>
      </c>
      <c r="N75" s="193">
        <f t="shared" si="5"/>
        <v>0.98662645676880589</v>
      </c>
    </row>
    <row r="76" spans="1:14" s="49" customFormat="1" ht="12.5">
      <c r="A76" s="262">
        <v>4</v>
      </c>
      <c r="B76" s="262">
        <v>1</v>
      </c>
      <c r="C76" s="262" t="s">
        <v>895</v>
      </c>
      <c r="D76" s="262">
        <v>-0.8</v>
      </c>
      <c r="E76" s="262">
        <v>1.7992999999999999</v>
      </c>
      <c r="F76" s="261">
        <v>1.9599999999999999E-2</v>
      </c>
      <c r="G76" s="278">
        <v>0.89993807834392991</v>
      </c>
      <c r="H76" s="184">
        <v>0.87</v>
      </c>
      <c r="I76" s="279">
        <v>1</v>
      </c>
      <c r="J76" s="184">
        <f t="shared" si="4"/>
        <v>0.78294612815921905</v>
      </c>
      <c r="L76" s="243">
        <v>50</v>
      </c>
      <c r="M76" s="194">
        <f t="shared" si="3"/>
        <v>0.96447927882307782</v>
      </c>
      <c r="N76" s="193">
        <f t="shared" si="5"/>
        <v>0.96447927882307782</v>
      </c>
    </row>
    <row r="77" spans="1:14" s="49" customFormat="1" ht="12.5">
      <c r="A77" s="262">
        <v>4</v>
      </c>
      <c r="B77" s="262">
        <v>2</v>
      </c>
      <c r="C77" s="262" t="s">
        <v>1024</v>
      </c>
      <c r="D77" s="262">
        <v>-0.8</v>
      </c>
      <c r="E77" s="262">
        <v>1.7992999999999999</v>
      </c>
      <c r="F77" s="261">
        <v>1.9599999999999999E-2</v>
      </c>
      <c r="G77" s="278">
        <v>0.89993807834392991</v>
      </c>
      <c r="H77" s="184">
        <v>1.06</v>
      </c>
      <c r="I77" s="279">
        <v>1.1000000000000001</v>
      </c>
      <c r="J77" s="184">
        <f t="shared" si="4"/>
        <v>1.0493277993490224</v>
      </c>
      <c r="L77" s="243">
        <v>50</v>
      </c>
      <c r="M77" s="194">
        <f t="shared" si="3"/>
        <v>0.99497770445330036</v>
      </c>
      <c r="N77" s="193">
        <f t="shared" si="5"/>
        <v>0.99497770445330036</v>
      </c>
    </row>
    <row r="78" spans="1:14" s="49" customFormat="1" ht="12.5">
      <c r="A78" s="262">
        <v>4</v>
      </c>
      <c r="B78" s="262">
        <v>2</v>
      </c>
      <c r="C78" s="262" t="s">
        <v>895</v>
      </c>
      <c r="D78" s="262">
        <v>-0.8</v>
      </c>
      <c r="E78" s="262">
        <v>1.7992999999999999</v>
      </c>
      <c r="F78" s="261">
        <v>1.9599999999999999E-2</v>
      </c>
      <c r="G78" s="278">
        <v>0.89993807834392991</v>
      </c>
      <c r="H78" s="184">
        <v>1.06</v>
      </c>
      <c r="I78" s="279">
        <v>1</v>
      </c>
      <c r="J78" s="184">
        <f t="shared" si="4"/>
        <v>0.9539343630445658</v>
      </c>
      <c r="L78" s="243">
        <v>50</v>
      </c>
      <c r="M78" s="194">
        <f t="shared" si="3"/>
        <v>0.99868879671555288</v>
      </c>
      <c r="N78" s="193">
        <f t="shared" si="5"/>
        <v>0.99868879671555288</v>
      </c>
    </row>
    <row r="79" spans="1:14" s="49" customFormat="1" ht="12.5">
      <c r="A79" s="262">
        <v>4</v>
      </c>
      <c r="B79" s="262">
        <v>3</v>
      </c>
      <c r="C79" s="262" t="s">
        <v>1024</v>
      </c>
      <c r="D79" s="262">
        <v>-0.8</v>
      </c>
      <c r="E79" s="262">
        <v>1.7992999999999999</v>
      </c>
      <c r="F79" s="261">
        <v>1.9599999999999999E-2</v>
      </c>
      <c r="G79" s="278">
        <v>0.89993807834392991</v>
      </c>
      <c r="H79" s="184">
        <v>1</v>
      </c>
      <c r="I79" s="279">
        <v>1.1000000000000001</v>
      </c>
      <c r="J79" s="184">
        <f t="shared" si="4"/>
        <v>0.98993188617832295</v>
      </c>
      <c r="L79" s="243">
        <v>50</v>
      </c>
      <c r="M79" s="194">
        <f t="shared" si="3"/>
        <v>0.99921125712756109</v>
      </c>
      <c r="N79" s="193">
        <f t="shared" si="5"/>
        <v>0.99921125712756109</v>
      </c>
    </row>
    <row r="80" spans="1:14" s="49" customFormat="1" ht="12.5">
      <c r="A80" s="262">
        <v>4</v>
      </c>
      <c r="B80" s="262">
        <v>3</v>
      </c>
      <c r="C80" s="262" t="s">
        <v>895</v>
      </c>
      <c r="D80" s="262">
        <v>-0.8</v>
      </c>
      <c r="E80" s="262">
        <v>1.7992999999999999</v>
      </c>
      <c r="F80" s="261">
        <v>1.9599999999999999E-2</v>
      </c>
      <c r="G80" s="278">
        <v>0.89993807834392991</v>
      </c>
      <c r="H80" s="184">
        <v>1</v>
      </c>
      <c r="I80" s="279">
        <v>1</v>
      </c>
      <c r="J80" s="184">
        <f t="shared" si="4"/>
        <v>0.89993807834392991</v>
      </c>
      <c r="L80" s="243">
        <v>50</v>
      </c>
      <c r="M80" s="194">
        <f t="shared" si="3"/>
        <v>0.99353640296538503</v>
      </c>
      <c r="N80" s="193">
        <f t="shared" si="5"/>
        <v>0.99353640296538503</v>
      </c>
    </row>
    <row r="81" spans="1:14" s="49" customFormat="1" ht="12.5">
      <c r="A81" s="262">
        <v>4</v>
      </c>
      <c r="B81" s="262">
        <v>4</v>
      </c>
      <c r="C81" s="262" t="s">
        <v>1024</v>
      </c>
      <c r="D81" s="262">
        <v>-0.8</v>
      </c>
      <c r="E81" s="262">
        <v>1.7992999999999999</v>
      </c>
      <c r="F81" s="261">
        <v>1.9599999999999999E-2</v>
      </c>
      <c r="G81" s="278">
        <v>0.89993807834392991</v>
      </c>
      <c r="H81" s="184">
        <v>1.1599999999999999</v>
      </c>
      <c r="I81" s="279">
        <v>1.1000000000000001</v>
      </c>
      <c r="J81" s="184">
        <f t="shared" si="4"/>
        <v>1.1483209879668548</v>
      </c>
      <c r="L81" s="243">
        <v>50</v>
      </c>
      <c r="M81" s="194">
        <f t="shared" si="3"/>
        <v>0.97387127895229275</v>
      </c>
      <c r="N81" s="193">
        <f t="shared" si="5"/>
        <v>0.97387127895229275</v>
      </c>
    </row>
    <row r="82" spans="1:14" s="49" customFormat="1" ht="12.5">
      <c r="A82" s="262">
        <v>4</v>
      </c>
      <c r="B82" s="262">
        <v>4</v>
      </c>
      <c r="C82" s="262" t="s">
        <v>895</v>
      </c>
      <c r="D82" s="262">
        <v>-0.8</v>
      </c>
      <c r="E82" s="262">
        <v>1.7992999999999999</v>
      </c>
      <c r="F82" s="261">
        <v>1.9599999999999999E-2</v>
      </c>
      <c r="G82" s="278">
        <v>0.89993807834392991</v>
      </c>
      <c r="H82" s="184">
        <v>1.1599999999999999</v>
      </c>
      <c r="I82" s="279">
        <v>1</v>
      </c>
      <c r="J82" s="184">
        <f t="shared" si="4"/>
        <v>1.0439281708789587</v>
      </c>
      <c r="L82" s="243">
        <v>50</v>
      </c>
      <c r="M82" s="194">
        <f t="shared" si="3"/>
        <v>0.99562455244924686</v>
      </c>
      <c r="N82" s="193">
        <f t="shared" si="5"/>
        <v>0.99562455244924686</v>
      </c>
    </row>
    <row r="83" spans="1:14" s="49" customFormat="1" ht="12.5">
      <c r="A83" s="262">
        <v>4</v>
      </c>
      <c r="B83" s="262">
        <v>5</v>
      </c>
      <c r="C83" s="262" t="s">
        <v>1024</v>
      </c>
      <c r="D83" s="262">
        <v>-0.8</v>
      </c>
      <c r="E83" s="262">
        <v>1.7992999999999999</v>
      </c>
      <c r="F83" s="261">
        <v>1.9599999999999999E-2</v>
      </c>
      <c r="G83" s="278">
        <v>0.89993807834392991</v>
      </c>
      <c r="H83" s="184">
        <v>1.25</v>
      </c>
      <c r="I83" s="279">
        <v>1.1000000000000001</v>
      </c>
      <c r="J83" s="184">
        <f t="shared" si="4"/>
        <v>1.2374148577229038</v>
      </c>
      <c r="L83" s="243">
        <v>50</v>
      </c>
      <c r="M83" s="194">
        <f t="shared" si="3"/>
        <v>0.94001547251075546</v>
      </c>
      <c r="N83" s="193">
        <f t="shared" si="5"/>
        <v>0.94001547251075546</v>
      </c>
    </row>
    <row r="84" spans="1:14" s="49" customFormat="1" ht="12.5">
      <c r="A84" s="262">
        <v>4</v>
      </c>
      <c r="B84" s="262">
        <v>5</v>
      </c>
      <c r="C84" s="262" t="s">
        <v>895</v>
      </c>
      <c r="D84" s="262">
        <v>-0.8</v>
      </c>
      <c r="E84" s="262">
        <v>1.7992999999999999</v>
      </c>
      <c r="F84" s="261">
        <v>1.9599999999999999E-2</v>
      </c>
      <c r="G84" s="278">
        <v>0.89993807834392991</v>
      </c>
      <c r="H84" s="184">
        <v>1.25</v>
      </c>
      <c r="I84" s="279">
        <v>1</v>
      </c>
      <c r="J84" s="184">
        <f t="shared" si="4"/>
        <v>1.1249225979299124</v>
      </c>
      <c r="L84" s="243">
        <v>50</v>
      </c>
      <c r="M84" s="194">
        <f t="shared" si="3"/>
        <v>0.98043809449776576</v>
      </c>
      <c r="N84" s="193">
        <f t="shared" si="5"/>
        <v>0.98043809449776576</v>
      </c>
    </row>
    <row r="85" spans="1:14" s="49" customFormat="1">
      <c r="A85" s="184"/>
      <c r="B85" s="184"/>
      <c r="C85" s="184"/>
      <c r="D85" s="184"/>
      <c r="E85" s="184"/>
      <c r="F85" s="184"/>
      <c r="G85" s="184"/>
      <c r="H85" s="184"/>
      <c r="I85" s="184"/>
      <c r="J85" s="184"/>
    </row>
    <row r="86" spans="1:14" s="49" customFormat="1"/>
    <row r="87" spans="1:14" s="49" customFormat="1"/>
    <row r="88" spans="1:14" s="49" customFormat="1"/>
    <row r="89" spans="1:14" s="49" customFormat="1"/>
    <row r="90" spans="1:14" s="49" customFormat="1"/>
    <row r="91" spans="1:14" s="49" customFormat="1"/>
    <row r="92" spans="1:14" s="49" customFormat="1"/>
    <row r="93" spans="1:14" s="49" customFormat="1"/>
    <row r="94" spans="1:14" s="49" customFormat="1"/>
    <row r="95" spans="1:14" s="49" customFormat="1"/>
    <row r="96" spans="1:14" s="49" customFormat="1"/>
    <row r="97" s="49" customFormat="1"/>
    <row r="98" s="49" customFormat="1"/>
    <row r="99" s="49" customFormat="1"/>
    <row r="100" s="49" customFormat="1"/>
    <row r="101" s="49" customFormat="1"/>
    <row r="102" s="49" customFormat="1"/>
    <row r="103" s="49" customFormat="1"/>
    <row r="104" s="49" customFormat="1"/>
    <row r="105" s="49" customFormat="1"/>
    <row r="106" s="49" customFormat="1"/>
    <row r="107" s="49" customFormat="1"/>
    <row r="108" s="49" customFormat="1"/>
    <row r="109" s="49" customFormat="1"/>
    <row r="110" s="49" customFormat="1"/>
    <row r="111" s="49" customFormat="1"/>
    <row r="112" s="49" customFormat="1"/>
    <row r="113" s="49" customFormat="1"/>
    <row r="114" s="49" customFormat="1"/>
    <row r="115" s="49" customFormat="1"/>
    <row r="116" s="49" customFormat="1"/>
    <row r="117" s="49" customFormat="1"/>
    <row r="118" s="49" customFormat="1"/>
    <row r="119" s="49" customFormat="1"/>
    <row r="120" s="49" customFormat="1"/>
    <row r="121" s="49" customFormat="1"/>
    <row r="122" s="49" customFormat="1"/>
    <row r="123" s="49" customFormat="1"/>
    <row r="124" s="49" customFormat="1"/>
    <row r="125" s="49" customFormat="1"/>
    <row r="126" s="49" customFormat="1"/>
    <row r="127" s="49" customFormat="1"/>
    <row r="128" s="49" customFormat="1"/>
    <row r="129" s="49" customFormat="1"/>
    <row r="130" s="49" customFormat="1"/>
    <row r="131" s="49" customFormat="1"/>
    <row r="132" s="49" customFormat="1"/>
    <row r="133" s="49" customFormat="1"/>
    <row r="134" s="49" customFormat="1"/>
    <row r="135" s="49" customFormat="1"/>
    <row r="136" s="49" customFormat="1"/>
    <row r="137" s="49" customFormat="1"/>
    <row r="138" s="49" customFormat="1"/>
    <row r="139" s="49" customFormat="1"/>
    <row r="140" s="49" customFormat="1"/>
    <row r="141" s="49" customFormat="1"/>
    <row r="142" s="49" customFormat="1"/>
    <row r="143" s="49" customFormat="1"/>
    <row r="144" s="49" customFormat="1"/>
    <row r="145" s="49" customFormat="1"/>
    <row r="146" s="49" customFormat="1"/>
    <row r="147" s="49" customFormat="1"/>
    <row r="148" s="49" customFormat="1"/>
    <row r="149" s="49" customFormat="1"/>
    <row r="150" s="49" customFormat="1"/>
    <row r="151" s="49" customFormat="1"/>
    <row r="152" s="49" customFormat="1"/>
    <row r="153" s="49" customFormat="1"/>
    <row r="154" s="49" customFormat="1"/>
    <row r="155" s="49" customFormat="1"/>
    <row r="156" s="49" customFormat="1"/>
    <row r="157" s="49" customFormat="1"/>
    <row r="158" s="49" customFormat="1"/>
    <row r="159" s="49" customFormat="1"/>
    <row r="160" s="49" customFormat="1"/>
    <row r="161" s="49" customFormat="1"/>
    <row r="162" s="49" customFormat="1"/>
    <row r="163" s="49" customFormat="1"/>
    <row r="164" s="49" customFormat="1"/>
    <row r="165" s="49" customFormat="1"/>
    <row r="166" s="49" customFormat="1"/>
    <row r="167" s="49" customFormat="1"/>
    <row r="168" s="49" customFormat="1"/>
    <row r="169" s="49" customFormat="1"/>
    <row r="170" s="49" customFormat="1"/>
    <row r="171" s="49" customFormat="1"/>
    <row r="172" s="49" customFormat="1"/>
    <row r="173" s="49" customFormat="1"/>
    <row r="174" s="49" customFormat="1"/>
    <row r="175" s="49" customFormat="1"/>
    <row r="176" s="49" customFormat="1"/>
    <row r="177" s="49" customFormat="1"/>
    <row r="178" s="49" customFormat="1"/>
    <row r="179" s="49" customFormat="1"/>
    <row r="180" s="49" customFormat="1"/>
    <row r="181" s="49" customFormat="1"/>
    <row r="182" s="49" customFormat="1"/>
    <row r="183" s="49" customFormat="1"/>
    <row r="184" s="49" customFormat="1"/>
    <row r="185" s="49" customFormat="1"/>
    <row r="186" s="49" customFormat="1"/>
    <row r="187" s="49" customFormat="1"/>
    <row r="188" s="49" customFormat="1"/>
    <row r="189" s="49" customFormat="1"/>
    <row r="190" s="49" customFormat="1"/>
    <row r="191" s="49" customFormat="1"/>
    <row r="192" s="49" customFormat="1"/>
    <row r="193" s="49" customFormat="1"/>
    <row r="194" s="49" customFormat="1"/>
    <row r="195" s="49" customFormat="1"/>
    <row r="196" s="49" customFormat="1"/>
    <row r="197" s="49" customFormat="1"/>
    <row r="198" s="49" customFormat="1"/>
    <row r="199" s="49" customFormat="1"/>
    <row r="200" s="49" customFormat="1"/>
    <row r="201" s="49" customFormat="1"/>
    <row r="202" s="49" customFormat="1"/>
    <row r="203" s="49" customFormat="1"/>
    <row r="204" s="49" customFormat="1"/>
    <row r="205" s="49" customFormat="1"/>
    <row r="206" s="49" customFormat="1"/>
    <row r="207" s="49" customFormat="1"/>
    <row r="208" s="49" customFormat="1"/>
    <row r="209" s="49" customFormat="1"/>
    <row r="210" s="49" customFormat="1"/>
    <row r="211" s="49" customFormat="1"/>
    <row r="212" s="49" customFormat="1"/>
    <row r="213" s="49" customFormat="1"/>
    <row r="214" s="49" customFormat="1"/>
    <row r="215" s="49" customFormat="1"/>
    <row r="216" s="49" customFormat="1"/>
    <row r="217" s="49" customFormat="1"/>
    <row r="218" s="49" customFormat="1"/>
    <row r="219" s="49" customFormat="1"/>
    <row r="220" s="49" customFormat="1"/>
    <row r="221" s="49" customFormat="1"/>
    <row r="222" s="49" customFormat="1"/>
    <row r="223" s="49" customFormat="1"/>
    <row r="224" s="49" customFormat="1"/>
    <row r="225" s="49" customFormat="1"/>
    <row r="226" s="49" customFormat="1"/>
    <row r="227" s="49" customFormat="1"/>
    <row r="228" s="49" customFormat="1"/>
    <row r="229" s="49" customFormat="1"/>
    <row r="230" s="49" customFormat="1"/>
    <row r="231" s="49" customFormat="1"/>
    <row r="232" s="49" customFormat="1"/>
    <row r="233" s="49" customFormat="1"/>
    <row r="234" s="49" customFormat="1"/>
    <row r="235" s="49" customFormat="1"/>
    <row r="236" s="49" customFormat="1"/>
    <row r="237" s="49" customFormat="1"/>
    <row r="238" s="49" customFormat="1"/>
    <row r="239" s="49" customFormat="1"/>
    <row r="240" s="49" customFormat="1"/>
    <row r="241" s="49" customFormat="1"/>
    <row r="242" s="49" customFormat="1"/>
    <row r="243" s="49" customFormat="1"/>
    <row r="244" s="49" customFormat="1"/>
    <row r="245" s="49" customFormat="1"/>
    <row r="246" s="49" customFormat="1"/>
    <row r="247" s="49" customFormat="1"/>
    <row r="248" s="49" customFormat="1"/>
    <row r="249" s="49" customFormat="1"/>
    <row r="250" s="49" customFormat="1"/>
    <row r="251" s="49" customFormat="1"/>
    <row r="252" s="49" customFormat="1"/>
    <row r="253" s="49" customFormat="1"/>
    <row r="254" s="49" customFormat="1"/>
    <row r="255" s="49" customFormat="1"/>
    <row r="256" s="49" customFormat="1"/>
    <row r="257" s="49" customFormat="1"/>
    <row r="258" s="49" customFormat="1"/>
    <row r="259" s="49" customFormat="1"/>
    <row r="260" s="49" customFormat="1"/>
    <row r="261" s="49" customFormat="1"/>
    <row r="262" s="49" customFormat="1"/>
    <row r="263" s="49" customFormat="1"/>
    <row r="264" s="49" customFormat="1"/>
    <row r="265" s="49" customFormat="1"/>
    <row r="266" s="49" customFormat="1"/>
    <row r="267" s="49" customFormat="1"/>
    <row r="268" s="49" customFormat="1"/>
    <row r="269" s="49" customFormat="1"/>
    <row r="270" s="49" customFormat="1"/>
    <row r="271" s="49" customFormat="1"/>
    <row r="272" s="49" customFormat="1"/>
    <row r="273" s="49" customFormat="1"/>
    <row r="274" s="49" customFormat="1"/>
    <row r="275" s="49" customFormat="1"/>
    <row r="276" s="49" customFormat="1"/>
    <row r="277" s="49" customFormat="1"/>
    <row r="278" s="49" customFormat="1"/>
    <row r="279" s="49" customFormat="1"/>
    <row r="280" s="49" customFormat="1"/>
    <row r="281" s="49" customFormat="1"/>
    <row r="282" s="49" customFormat="1"/>
    <row r="283" s="49" customFormat="1"/>
    <row r="284" s="49" customFormat="1"/>
    <row r="285" s="49" customFormat="1"/>
    <row r="286" s="49" customFormat="1"/>
    <row r="287" s="49" customFormat="1"/>
    <row r="288" s="49" customFormat="1"/>
    <row r="289" s="49" customFormat="1"/>
    <row r="290" s="49" customFormat="1"/>
    <row r="291" s="49" customFormat="1"/>
    <row r="292" s="49" customFormat="1"/>
    <row r="293" s="49" customFormat="1"/>
    <row r="294" s="49" customFormat="1"/>
    <row r="295" s="49" customFormat="1"/>
    <row r="296" s="49" customFormat="1"/>
  </sheetData>
  <phoneticPr fontId="0" type="noConversion"/>
  <pageMargins left="0.75" right="0.75" top="1" bottom="1" header="0.5" footer="0.5"/>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530"/>
  <sheetViews>
    <sheetView workbookViewId="0">
      <selection activeCell="K3" sqref="K3:P3"/>
    </sheetView>
  </sheetViews>
  <sheetFormatPr defaultColWidth="8.8984375" defaultRowHeight="11.5"/>
  <cols>
    <col min="1" max="1" width="10.09765625" customWidth="1"/>
    <col min="2" max="2" width="12.69921875" customWidth="1"/>
    <col min="3" max="3" width="10.3984375" customWidth="1"/>
    <col min="4" max="4" width="12" customWidth="1"/>
  </cols>
  <sheetData>
    <row r="1" spans="1:17" ht="15.5">
      <c r="A1" s="59" t="s">
        <v>909</v>
      </c>
      <c r="B1" s="60"/>
      <c r="C1" s="60"/>
      <c r="D1" s="60"/>
      <c r="E1" s="60"/>
      <c r="F1" s="60"/>
      <c r="H1" s="60"/>
      <c r="I1" s="64" t="s">
        <v>914</v>
      </c>
      <c r="J1" s="60"/>
      <c r="K1" s="60"/>
      <c r="L1" s="60"/>
      <c r="M1" s="60"/>
      <c r="N1" s="60"/>
    </row>
    <row r="2" spans="1:17" ht="12" thickBot="1">
      <c r="A2" s="61"/>
      <c r="B2" s="61"/>
      <c r="C2" s="61"/>
      <c r="D2" s="61"/>
      <c r="E2" s="61"/>
      <c r="F2" s="61"/>
      <c r="G2" s="62"/>
      <c r="H2" s="62"/>
      <c r="I2" s="62"/>
      <c r="J2" s="62"/>
      <c r="K2" s="61"/>
      <c r="L2" s="61"/>
      <c r="M2" s="61"/>
      <c r="N2" s="61"/>
    </row>
    <row r="3" spans="1:17" ht="13.5" thickBot="1">
      <c r="A3" s="63" t="s">
        <v>1073</v>
      </c>
      <c r="B3" s="61"/>
      <c r="C3" s="61"/>
      <c r="D3" s="61"/>
      <c r="E3" s="61" t="s">
        <v>908</v>
      </c>
      <c r="F3" s="61"/>
      <c r="G3" s="62"/>
      <c r="H3" s="62"/>
      <c r="I3" s="62"/>
      <c r="J3" s="62"/>
      <c r="K3" s="1398" t="s">
        <v>443</v>
      </c>
      <c r="L3" s="1399"/>
      <c r="M3" s="1399"/>
      <c r="N3" s="1399"/>
      <c r="O3" s="1399"/>
      <c r="P3" s="1400"/>
    </row>
    <row r="4" spans="1:17" ht="12.5">
      <c r="A4" s="65" t="s">
        <v>982</v>
      </c>
      <c r="B4" s="61"/>
      <c r="C4" s="61"/>
      <c r="D4" s="61"/>
      <c r="E4" s="61"/>
      <c r="F4" s="61"/>
      <c r="G4" s="62"/>
      <c r="H4" s="62"/>
      <c r="I4" s="61" t="s">
        <v>1026</v>
      </c>
      <c r="J4" s="62"/>
      <c r="K4" s="61"/>
      <c r="L4" s="61"/>
      <c r="M4" s="61"/>
      <c r="N4" s="61"/>
    </row>
    <row r="5" spans="1:17" ht="14">
      <c r="A5" s="61" t="s">
        <v>910</v>
      </c>
      <c r="B5" s="61"/>
      <c r="C5" s="61"/>
      <c r="D5" s="61"/>
      <c r="E5" s="64"/>
      <c r="F5" s="97" t="s">
        <v>911</v>
      </c>
      <c r="G5" s="62"/>
      <c r="H5" s="62"/>
      <c r="J5" s="61"/>
      <c r="K5" s="61"/>
      <c r="M5" s="61"/>
      <c r="O5" s="62"/>
      <c r="P5" s="61"/>
      <c r="Q5" s="61"/>
    </row>
    <row r="6" spans="1:17" ht="13">
      <c r="A6" s="61" t="s">
        <v>912</v>
      </c>
      <c r="B6" s="61"/>
      <c r="C6" s="61"/>
      <c r="D6" s="61"/>
      <c r="E6" s="64"/>
      <c r="F6" s="97"/>
      <c r="G6" s="62"/>
      <c r="H6" s="62"/>
      <c r="J6" s="61"/>
      <c r="K6" s="61"/>
      <c r="M6" s="61"/>
      <c r="N6" s="61"/>
      <c r="O6" s="62"/>
      <c r="P6" s="61"/>
      <c r="Q6" s="61"/>
    </row>
    <row r="7" spans="1:17" ht="13">
      <c r="A7" s="61"/>
      <c r="B7" s="61"/>
      <c r="C7" s="61"/>
      <c r="D7" s="61"/>
      <c r="E7" s="64"/>
      <c r="F7" s="97"/>
      <c r="G7" s="62"/>
      <c r="H7" s="62"/>
      <c r="J7" s="61"/>
      <c r="K7" s="61"/>
      <c r="M7" s="61"/>
      <c r="N7" s="61"/>
      <c r="O7" s="62"/>
      <c r="P7" s="61"/>
      <c r="Q7" s="61"/>
    </row>
    <row r="8" spans="1:17">
      <c r="A8" s="61" t="s">
        <v>918</v>
      </c>
      <c r="B8" s="61"/>
      <c r="C8" s="61"/>
      <c r="D8" s="61"/>
      <c r="E8" s="61"/>
      <c r="F8" s="61"/>
      <c r="G8" s="61"/>
      <c r="H8" s="61"/>
      <c r="J8" s="61"/>
      <c r="K8" s="61"/>
      <c r="L8" s="62"/>
      <c r="M8" s="62"/>
      <c r="N8" s="61"/>
      <c r="O8" s="61"/>
      <c r="P8" s="61"/>
      <c r="Q8" s="61"/>
    </row>
    <row r="9" spans="1:17">
      <c r="A9" s="61" t="s">
        <v>915</v>
      </c>
      <c r="B9" s="61"/>
      <c r="C9" s="61"/>
      <c r="D9" s="61"/>
      <c r="E9" s="61"/>
      <c r="F9" s="61"/>
      <c r="G9" s="61"/>
      <c r="H9" s="61"/>
      <c r="I9" s="61"/>
      <c r="J9" s="61"/>
      <c r="K9" s="61"/>
      <c r="L9" s="61"/>
      <c r="M9" s="61"/>
      <c r="N9" s="61"/>
    </row>
    <row r="10" spans="1:17" ht="13">
      <c r="A10" s="66" t="s">
        <v>879</v>
      </c>
      <c r="B10" s="67">
        <v>1.14E-2</v>
      </c>
      <c r="C10" s="66" t="s">
        <v>864</v>
      </c>
      <c r="D10" s="67">
        <v>1.08786</v>
      </c>
      <c r="E10" s="66" t="s">
        <v>913</v>
      </c>
      <c r="F10" s="68">
        <v>2.1819999999999999</v>
      </c>
      <c r="G10" s="67"/>
      <c r="H10" s="62"/>
      <c r="I10" s="62"/>
      <c r="J10" s="62"/>
      <c r="K10" s="61"/>
      <c r="L10" s="61"/>
      <c r="M10" s="61"/>
      <c r="N10" s="61"/>
    </row>
    <row r="11" spans="1:17">
      <c r="A11" s="61" t="s">
        <v>1122</v>
      </c>
      <c r="B11" s="61"/>
      <c r="C11" s="69"/>
      <c r="D11" s="61"/>
      <c r="E11" s="69"/>
      <c r="F11" s="62"/>
      <c r="G11" s="62"/>
      <c r="H11" s="62"/>
      <c r="I11" s="62"/>
      <c r="J11" s="62"/>
      <c r="K11" s="61"/>
      <c r="L11" s="61"/>
      <c r="M11" s="61"/>
      <c r="N11" s="61"/>
    </row>
    <row r="12" spans="1:17" ht="13">
      <c r="A12" s="62" t="s">
        <v>919</v>
      </c>
      <c r="B12" s="61"/>
      <c r="C12" s="69"/>
      <c r="D12" s="61"/>
      <c r="E12" s="69"/>
      <c r="F12" s="62"/>
      <c r="G12" s="62"/>
      <c r="H12" s="62"/>
      <c r="I12" s="62"/>
      <c r="J12" s="62"/>
      <c r="K12" s="61"/>
      <c r="L12" s="61"/>
      <c r="M12" s="61"/>
      <c r="N12" s="61"/>
    </row>
    <row r="13" spans="1:17">
      <c r="A13" s="62"/>
      <c r="B13" s="61"/>
      <c r="C13" s="69"/>
      <c r="D13" s="61"/>
      <c r="E13" s="69"/>
      <c r="F13" s="62"/>
      <c r="G13" s="62"/>
      <c r="H13" s="62"/>
      <c r="I13" s="62"/>
      <c r="J13" s="62"/>
      <c r="K13" s="61"/>
      <c r="L13" s="61"/>
      <c r="M13" s="61"/>
      <c r="N13" s="61"/>
    </row>
    <row r="14" spans="1:17">
      <c r="A14" s="61" t="s">
        <v>916</v>
      </c>
      <c r="B14" s="61"/>
      <c r="C14" s="61"/>
      <c r="D14" s="61"/>
      <c r="E14" s="61"/>
      <c r="F14" s="61"/>
      <c r="G14" s="61"/>
      <c r="H14" s="61"/>
      <c r="I14" s="61"/>
      <c r="J14" s="61"/>
      <c r="K14" s="61"/>
      <c r="L14" s="61"/>
      <c r="M14" s="61"/>
      <c r="N14" s="61"/>
    </row>
    <row r="15" spans="1:17" ht="13">
      <c r="A15" s="66" t="s">
        <v>879</v>
      </c>
      <c r="B15" s="67">
        <v>0.47720000000000001</v>
      </c>
      <c r="C15" s="66" t="s">
        <v>863</v>
      </c>
      <c r="D15" s="67">
        <v>0.52675000000000005</v>
      </c>
      <c r="E15" s="66" t="s">
        <v>864</v>
      </c>
      <c r="F15" s="68">
        <v>6.87765</v>
      </c>
      <c r="G15" s="67"/>
      <c r="H15" s="62"/>
      <c r="I15" s="62"/>
      <c r="J15" s="62"/>
      <c r="K15" s="61"/>
      <c r="L15" s="61"/>
      <c r="M15" s="61"/>
      <c r="N15" s="61"/>
    </row>
    <row r="16" spans="1:17">
      <c r="A16" s="61" t="s">
        <v>917</v>
      </c>
      <c r="B16" s="61"/>
      <c r="C16" s="69"/>
      <c r="D16" s="61"/>
      <c r="E16" s="69"/>
      <c r="F16" s="62"/>
      <c r="G16" s="62"/>
      <c r="H16" s="62"/>
      <c r="I16" s="62"/>
      <c r="J16" s="62"/>
      <c r="K16" s="61"/>
      <c r="L16" s="61"/>
      <c r="M16" s="61"/>
      <c r="N16" s="61"/>
    </row>
    <row r="17" spans="1:14" ht="13">
      <c r="A17" s="62" t="s">
        <v>903</v>
      </c>
      <c r="B17" s="61"/>
      <c r="C17" s="69"/>
      <c r="D17" s="61"/>
      <c r="E17" s="69"/>
      <c r="F17" s="62"/>
      <c r="G17" s="62"/>
      <c r="H17" s="62"/>
      <c r="I17" s="62"/>
      <c r="J17" s="62"/>
      <c r="K17" s="61"/>
      <c r="L17" s="61"/>
      <c r="M17" s="61"/>
      <c r="N17" s="61"/>
    </row>
    <row r="18" spans="1:14" s="93" customFormat="1">
      <c r="A18" s="70"/>
      <c r="B18" s="70"/>
      <c r="C18" s="71"/>
      <c r="D18" s="70"/>
      <c r="E18" s="71"/>
      <c r="F18" s="70"/>
      <c r="G18" s="70"/>
      <c r="H18" s="70"/>
      <c r="I18" s="70"/>
      <c r="J18" s="70"/>
      <c r="K18" s="70"/>
      <c r="L18" s="70"/>
      <c r="M18" s="70"/>
      <c r="N18" s="70"/>
    </row>
    <row r="19" spans="1:14">
      <c r="A19" s="72"/>
      <c r="B19" s="72"/>
      <c r="C19" s="73"/>
      <c r="D19" s="72"/>
      <c r="E19" s="73"/>
      <c r="F19" s="72"/>
      <c r="G19" s="72"/>
      <c r="H19" s="72"/>
      <c r="I19" s="72"/>
      <c r="J19" s="72"/>
      <c r="K19" s="72"/>
      <c r="L19" s="72"/>
      <c r="M19" s="72"/>
      <c r="N19" s="72"/>
    </row>
    <row r="20" spans="1:14" s="49" customFormat="1" ht="13">
      <c r="A20" s="74" t="s">
        <v>1090</v>
      </c>
      <c r="B20" s="75"/>
      <c r="C20" s="76"/>
      <c r="D20" s="75"/>
      <c r="F20" s="72"/>
      <c r="G20" s="72"/>
      <c r="H20" s="72"/>
      <c r="I20" s="72"/>
      <c r="J20" s="72"/>
      <c r="K20" s="75"/>
      <c r="L20" s="75"/>
      <c r="M20" s="75"/>
      <c r="N20" s="75"/>
    </row>
    <row r="21" spans="1:14" s="49" customFormat="1">
      <c r="A21" s="75"/>
      <c r="B21" s="75"/>
      <c r="C21" s="76"/>
      <c r="D21" s="75"/>
      <c r="E21" s="76"/>
      <c r="F21" s="72"/>
      <c r="G21" s="72"/>
      <c r="H21" s="72"/>
      <c r="I21" s="72"/>
      <c r="J21" s="72"/>
      <c r="K21" s="75"/>
      <c r="L21" s="75"/>
      <c r="M21" s="75"/>
      <c r="N21" s="75"/>
    </row>
    <row r="22" spans="1:14" s="49" customFormat="1" ht="13">
      <c r="A22" s="78" t="s">
        <v>1125</v>
      </c>
      <c r="B22" s="79"/>
      <c r="C22" s="80"/>
      <c r="D22" s="79"/>
      <c r="E22" s="79"/>
      <c r="F22" s="79" t="s">
        <v>1131</v>
      </c>
      <c r="G22" s="79"/>
      <c r="H22" s="79"/>
      <c r="I22" s="79"/>
      <c r="J22" s="79"/>
      <c r="K22" s="80"/>
      <c r="L22" s="80"/>
      <c r="M22" s="79"/>
      <c r="N22" s="80"/>
    </row>
    <row r="23" spans="1:14" s="82" customFormat="1" ht="12.5">
      <c r="A23" s="290" t="s">
        <v>1123</v>
      </c>
      <c r="B23" s="81"/>
      <c r="C23" s="81"/>
      <c r="H23" s="81"/>
      <c r="I23" s="81"/>
    </row>
    <row r="24" spans="1:14" s="86" customFormat="1" ht="13">
      <c r="A24" s="86" t="s">
        <v>866</v>
      </c>
      <c r="B24" s="291" t="s">
        <v>1126</v>
      </c>
      <c r="C24" s="291" t="s">
        <v>1127</v>
      </c>
      <c r="F24" s="87" t="s">
        <v>824</v>
      </c>
      <c r="G24" s="292" t="s">
        <v>1130</v>
      </c>
      <c r="H24" s="87"/>
    </row>
    <row r="25" spans="1:14" s="84" customFormat="1" ht="12.5">
      <c r="A25" s="75">
        <v>1</v>
      </c>
      <c r="B25" s="75">
        <v>2.7539999000000008E-3</v>
      </c>
      <c r="C25" s="293">
        <v>-1.89288002</v>
      </c>
      <c r="F25" s="75">
        <v>1</v>
      </c>
      <c r="G25" s="77">
        <v>1.25</v>
      </c>
      <c r="H25" s="77"/>
    </row>
    <row r="26" spans="1:14" s="75" customFormat="1" ht="12.5">
      <c r="A26" s="75">
        <v>2</v>
      </c>
      <c r="B26" s="75">
        <v>7.4039996812500005E-3</v>
      </c>
      <c r="C26" s="293">
        <v>-2.3483424981249996</v>
      </c>
      <c r="D26" s="84"/>
      <c r="F26" s="75">
        <v>2</v>
      </c>
      <c r="G26" s="72">
        <v>1.05</v>
      </c>
      <c r="H26" s="77"/>
      <c r="K26" s="84"/>
      <c r="L26" s="84"/>
    </row>
    <row r="27" spans="1:14" s="75" customFormat="1" ht="12.5">
      <c r="A27" s="75">
        <v>3</v>
      </c>
      <c r="B27" s="75">
        <v>8.6929996249999995E-3</v>
      </c>
      <c r="C27" s="293">
        <v>-2.4717799925000001</v>
      </c>
      <c r="D27" s="84"/>
      <c r="F27" s="75">
        <v>3</v>
      </c>
      <c r="G27" s="72">
        <v>1.0349999999999999</v>
      </c>
      <c r="H27" s="77"/>
      <c r="K27" s="84"/>
      <c r="L27" s="84"/>
    </row>
    <row r="28" spans="1:14" s="75" customFormat="1" ht="12.5">
      <c r="A28" s="75">
        <v>4</v>
      </c>
      <c r="B28" s="75">
        <v>6.2346664E-3</v>
      </c>
      <c r="C28" s="293">
        <v>-2.2356866699999998</v>
      </c>
      <c r="D28" s="84"/>
      <c r="E28" s="84"/>
      <c r="F28" s="75">
        <v>4</v>
      </c>
      <c r="G28" s="72">
        <v>1</v>
      </c>
      <c r="H28" s="77"/>
      <c r="K28" s="84"/>
      <c r="L28" s="84"/>
    </row>
    <row r="29" spans="1:14" s="75" customFormat="1" ht="12.5">
      <c r="A29" s="293">
        <v>5</v>
      </c>
      <c r="B29" s="293">
        <v>4.2549998250000004E-3</v>
      </c>
      <c r="C29" s="293">
        <v>-2.0427200124999998</v>
      </c>
      <c r="D29" s="84"/>
      <c r="E29" s="84"/>
      <c r="K29" s="84"/>
      <c r="L29" s="84"/>
    </row>
    <row r="30" spans="1:14" s="70" customFormat="1">
      <c r="C30" s="70" t="s">
        <v>1026</v>
      </c>
    </row>
    <row r="31" spans="1:14" s="49" customFormat="1" ht="13">
      <c r="B31" s="72"/>
      <c r="C31" s="72"/>
      <c r="D31" s="92" t="s">
        <v>1026</v>
      </c>
      <c r="E31" s="72"/>
      <c r="F31" s="77"/>
      <c r="G31" s="72"/>
      <c r="H31" s="72"/>
      <c r="I31" s="72"/>
      <c r="J31" s="72"/>
      <c r="K31" s="72"/>
      <c r="L31" s="72"/>
      <c r="M31" s="72"/>
      <c r="N31" s="72"/>
    </row>
    <row r="32" spans="1:14" s="49" customFormat="1">
      <c r="A32" s="280" t="s">
        <v>1085</v>
      </c>
      <c r="B32" s="184"/>
      <c r="C32" s="184"/>
      <c r="D32" s="184"/>
      <c r="E32" s="184"/>
    </row>
    <row r="33" spans="1:5" s="49" customFormat="1">
      <c r="A33" s="184"/>
      <c r="B33" s="184"/>
      <c r="C33" s="184"/>
      <c r="D33" s="184"/>
      <c r="E33" s="184"/>
    </row>
    <row r="34" spans="1:5" s="49" customFormat="1">
      <c r="A34" s="294" t="s">
        <v>828</v>
      </c>
      <c r="B34" s="294" t="s">
        <v>1132</v>
      </c>
      <c r="C34" s="294" t="s">
        <v>95</v>
      </c>
      <c r="D34" s="294" t="s">
        <v>96</v>
      </c>
      <c r="E34" s="294" t="s">
        <v>97</v>
      </c>
    </row>
    <row r="35" spans="1:5" s="49" customFormat="1">
      <c r="A35" s="184">
        <v>0</v>
      </c>
      <c r="B35" s="194">
        <f t="shared" ref="B35:E43" si="0">IF(B$44=1,($B$10*(LOOKUP(B$45,$A$25:$A$29,$B$25:$B$29)*LOOKUP(B$46,$F$25:$F$28,$G$25:$G$28))+$D$10*POWER($A35,$F$10))/((LOOKUP(B$45,$A$25:$A$29,$B$25:$B$29)*LOOKUP(B$46,$F$25:$F$28,$G$25:$G$28))+POWER($A35,$F$10)),$B$15+$D$15*COS($F$15*$A35+LOOKUP(B$45,$A$25:$A$29,$C$25:$C$29)))</f>
        <v>1.14E-2</v>
      </c>
      <c r="C35" s="194">
        <f t="shared" si="0"/>
        <v>1.14E-2</v>
      </c>
      <c r="D35" s="194">
        <f t="shared" si="0"/>
        <v>1.14E-2</v>
      </c>
      <c r="E35" s="194">
        <f t="shared" si="0"/>
        <v>0.15220955745402309</v>
      </c>
    </row>
    <row r="36" spans="1:5" s="49" customFormat="1">
      <c r="A36" s="184">
        <v>0.03</v>
      </c>
      <c r="B36" s="194">
        <f t="shared" ref="B36:B43" si="1">IF(B$44=1,($B$10*(LOOKUP(B$45,$A$25:$A$29,$B$25:$B$29)*LOOKUP(B$46,$F$25:$F$28,$G$25:$G$28))+$D$10*POWER($A36,$F$10))/((LOOKUP(B$45,$A$25:$A$29,$B$25:$B$29)*LOOKUP(B$46,$F$25:$F$28,$G$25:$G$28))+POWER($A36,$F$10)),$B$15+$D$15*COS($F$15*$A36+LOOKUP(B$45,$A$25:$A$29,$C$25:$C$29)))</f>
        <v>0.16987172702787887</v>
      </c>
      <c r="C36" s="194">
        <f t="shared" si="0"/>
        <v>8.7669040372542986E-2</v>
      </c>
      <c r="D36" s="194">
        <f t="shared" si="0"/>
        <v>8.4283080902232452E-2</v>
      </c>
      <c r="E36" s="194">
        <f t="shared" si="0"/>
        <v>0.24402985234413979</v>
      </c>
    </row>
    <row r="37" spans="1:5" s="49" customFormat="1">
      <c r="A37" s="184">
        <v>0.06</v>
      </c>
      <c r="B37" s="194">
        <f t="shared" si="1"/>
        <v>0.48424703345721115</v>
      </c>
      <c r="C37" s="194">
        <f t="shared" si="0"/>
        <v>0.28812997755693093</v>
      </c>
      <c r="D37" s="194">
        <f t="shared" si="0"/>
        <v>0.27821865305818272</v>
      </c>
      <c r="E37" s="194">
        <f>IF(E$44=1,($B$10*(LOOKUP(E$45,$A$25:$A$29,$B$25:$B$29)*LOOKUP(E$46,$F$25:$F$28,$G$25:$G$28))+$D$10*POWER($A37,$F$10))/((LOOKUP(E$45,$A$25:$A$29,$B$25:$B$29)*LOOKUP(E$46,$F$25:$F$28,$G$25:$G$28))+POWER($A37,$F$10)),$B$15+$D$15*COS($F$15*$A37+LOOKUP(E$45,$A$25:$A$29,$C$25:$C$29)))</f>
        <v>0.34574146889604507</v>
      </c>
    </row>
    <row r="38" spans="1:5" s="49" customFormat="1">
      <c r="A38" s="184">
        <v>0.09</v>
      </c>
      <c r="B38" s="194">
        <f t="shared" si="1"/>
        <v>0.71635304123701216</v>
      </c>
      <c r="C38" s="194">
        <f t="shared" si="0"/>
        <v>0.50225222822366111</v>
      </c>
      <c r="D38" s="194">
        <f t="shared" si="0"/>
        <v>0.48925429115778446</v>
      </c>
      <c r="E38" s="194">
        <f t="shared" si="0"/>
        <v>0.45302969390065206</v>
      </c>
    </row>
    <row r="39" spans="1:5" s="49" customFormat="1">
      <c r="A39" s="184">
        <v>0.12</v>
      </c>
      <c r="B39" s="194">
        <f t="shared" si="1"/>
        <v>0.85152232156980923</v>
      </c>
      <c r="C39" s="194">
        <f t="shared" si="0"/>
        <v>0.66903967604643388</v>
      </c>
      <c r="D39" s="194">
        <f t="shared" si="0"/>
        <v>0.65649035004340084</v>
      </c>
      <c r="E39" s="194">
        <f t="shared" si="0"/>
        <v>0.56134324858273321</v>
      </c>
    </row>
    <row r="40" spans="1:5" s="49" customFormat="1">
      <c r="A40" s="184">
        <v>0.15</v>
      </c>
      <c r="B40" s="194">
        <f t="shared" si="1"/>
        <v>0.92919582724492988</v>
      </c>
      <c r="C40" s="194">
        <f t="shared" si="0"/>
        <v>0.78507184291517096</v>
      </c>
      <c r="D40" s="194">
        <f t="shared" si="0"/>
        <v>0.77434177702198814</v>
      </c>
      <c r="E40" s="194">
        <f>IF(E$44=1,($B$10*(LOOKUP(E$45,$A$25:$A$29,$B$25:$B$29)*LOOKUP(E$46,$F$25:$F$28,$G$25:$G$28))+$D$10*POWER($A40,$F$10))/((LOOKUP(E$45,$A$25:$A$29,$B$25:$B$29)*LOOKUP(E$46,$F$25:$F$28,$G$25:$G$28))+POWER($A40,$F$10)),$B$15+$D$15*COS($F$15*$A40+LOOKUP(E$45,$A$25:$A$29,$C$25:$C$29)))</f>
        <v>0.66608735860919732</v>
      </c>
    </row>
    <row r="41" spans="1:5" s="49" customFormat="1">
      <c r="A41" s="184">
        <v>0.18</v>
      </c>
      <c r="B41" s="194">
        <f t="shared" si="1"/>
        <v>0.97585410517615545</v>
      </c>
      <c r="C41" s="194">
        <f t="shared" si="0"/>
        <v>0.86376415995315037</v>
      </c>
      <c r="D41" s="194">
        <f t="shared" si="0"/>
        <v>0.85498336352326476</v>
      </c>
      <c r="E41" s="194">
        <f t="shared" si="0"/>
        <v>0.76281866922444896</v>
      </c>
    </row>
    <row r="42" spans="1:5" s="49" customFormat="1">
      <c r="A42" s="184">
        <v>0.21</v>
      </c>
      <c r="B42" s="194">
        <f t="shared" si="1"/>
        <v>1.0053957091373267</v>
      </c>
      <c r="C42" s="194">
        <f t="shared" si="0"/>
        <v>0.9176520894842054</v>
      </c>
      <c r="D42" s="194">
        <f t="shared" si="0"/>
        <v>0.91054354185987474</v>
      </c>
      <c r="E42" s="194">
        <f t="shared" si="0"/>
        <v>0.84743373700881908</v>
      </c>
    </row>
    <row r="43" spans="1:5" s="49" customFormat="1">
      <c r="A43" s="184">
        <v>0.24</v>
      </c>
      <c r="B43" s="194">
        <f t="shared" si="1"/>
        <v>1.0250224543881836</v>
      </c>
      <c r="C43" s="194">
        <f t="shared" si="0"/>
        <v>0.95537872541299784</v>
      </c>
      <c r="D43" s="194">
        <f>IF(D$44=1,($B$10*(LOOKUP(D$45,$A$25:$A$29,$B$25:$B$29)*LOOKUP(D$46,$F$25:$F$28,$G$25:$G$28))+$D$10*POWER($A43,$F$10))/((LOOKUP(D$45,$A$25:$A$29,$B$25:$B$29)*LOOKUP(D$46,$F$25:$F$28,$G$25:$G$28))+POWER($A43,$F$10)),$B$15+$D$15*COS($F$15*$A43+LOOKUP(D$45,$A$25:$A$29,$C$25:$C$29)))</f>
        <v>0.94960541986295977</v>
      </c>
      <c r="E43" s="194">
        <f>IF(E$44=1,($B$10*(LOOKUP(E$45,$A$25:$A$29,$B$25:$B$29)*LOOKUP(E$46,$F$25:$F$28,$G$25:$G$28))+$D$10*POWER($A43,$F$10))/((LOOKUP(E$45,$A$25:$A$29,$B$25:$B$29)*LOOKUP(E$46,$F$25:$F$28,$G$25:$G$28))+POWER($A43,$F$10)),$B$15+$D$15*COS($F$15*$A43+LOOKUP(E$45,$A$25:$A$29,$C$25:$C$29)))</f>
        <v>0.9163431022424271</v>
      </c>
    </row>
    <row r="44" spans="1:5" s="49" customFormat="1">
      <c r="A44" s="246" t="s">
        <v>94</v>
      </c>
      <c r="B44" s="246">
        <v>1</v>
      </c>
      <c r="C44" s="246">
        <v>1</v>
      </c>
      <c r="D44" s="246">
        <v>1</v>
      </c>
      <c r="E44" s="246">
        <v>2</v>
      </c>
    </row>
    <row r="45" spans="1:5" s="49" customFormat="1">
      <c r="A45" s="288" t="s">
        <v>71</v>
      </c>
      <c r="B45" s="288">
        <v>1</v>
      </c>
      <c r="C45" s="288">
        <v>4</v>
      </c>
      <c r="D45" s="288">
        <v>4</v>
      </c>
      <c r="E45" s="288">
        <v>4</v>
      </c>
    </row>
    <row r="46" spans="1:5" s="49" customFormat="1">
      <c r="A46" s="288" t="s">
        <v>89</v>
      </c>
      <c r="B46" s="246">
        <v>4</v>
      </c>
      <c r="C46" s="246">
        <v>4</v>
      </c>
      <c r="D46" s="246">
        <v>2</v>
      </c>
      <c r="E46" s="246">
        <v>2</v>
      </c>
    </row>
    <row r="47" spans="1:5" s="49" customFormat="1"/>
    <row r="48" spans="1:5" s="49" customFormat="1">
      <c r="A48" s="49" t="s">
        <v>1154</v>
      </c>
    </row>
    <row r="49" spans="1:14" s="49" customFormat="1"/>
    <row r="50" spans="1:14" s="153" customFormat="1"/>
    <row r="51" spans="1:14" s="49" customFormat="1"/>
    <row r="52" spans="1:14" s="49" customFormat="1">
      <c r="A52" s="50"/>
      <c r="B52" s="50"/>
      <c r="C52" s="50"/>
      <c r="D52" s="50"/>
      <c r="E52" s="50"/>
      <c r="G52" s="50"/>
      <c r="H52" s="154" t="s">
        <v>1188</v>
      </c>
      <c r="I52" s="154"/>
      <c r="J52" s="154"/>
      <c r="K52" s="154"/>
      <c r="L52" s="154"/>
      <c r="M52" s="154"/>
      <c r="N52" s="154"/>
    </row>
    <row r="53" spans="1:14" s="49" customFormat="1" ht="13">
      <c r="A53" s="85" t="s">
        <v>902</v>
      </c>
      <c r="H53" s="155" t="s">
        <v>901</v>
      </c>
    </row>
    <row r="54" spans="1:14" s="49" customFormat="1">
      <c r="A54" s="160" t="s">
        <v>905</v>
      </c>
      <c r="B54" s="160" t="s">
        <v>906</v>
      </c>
      <c r="C54" s="160" t="s">
        <v>889</v>
      </c>
      <c r="D54" s="160" t="s">
        <v>1128</v>
      </c>
      <c r="E54" s="160" t="s">
        <v>1129</v>
      </c>
      <c r="F54" s="160" t="s">
        <v>907</v>
      </c>
      <c r="G54" s="160"/>
      <c r="H54" s="242" t="s">
        <v>870</v>
      </c>
      <c r="I54" s="287" t="s">
        <v>900</v>
      </c>
      <c r="J54" s="184"/>
    </row>
    <row r="55" spans="1:14" s="49" customFormat="1" ht="12.5">
      <c r="A55" s="49">
        <v>1</v>
      </c>
      <c r="B55" s="49">
        <v>1</v>
      </c>
      <c r="C55" s="49">
        <v>1</v>
      </c>
      <c r="D55" s="75">
        <v>2.7539999000000008E-3</v>
      </c>
      <c r="E55" s="77">
        <v>1.25</v>
      </c>
      <c r="F55" s="49">
        <f>D55*E55</f>
        <v>3.4424998750000012E-3</v>
      </c>
      <c r="H55" s="243">
        <v>0.2</v>
      </c>
      <c r="I55" s="196">
        <f t="shared" ref="I55:I79" si="2">IF(A55=1,(0.0114*(F55)+1.08786*POWER(H55,2.182))/((F55)+POWER(H55,2.182)),0.4772+0.52675*COS(6.87765*H55+F55))</f>
        <v>0.97652997955669074</v>
      </c>
      <c r="J55" s="184"/>
    </row>
    <row r="56" spans="1:14" s="49" customFormat="1">
      <c r="A56" s="49">
        <v>1</v>
      </c>
      <c r="B56" s="49">
        <v>1</v>
      </c>
      <c r="C56" s="49">
        <v>2</v>
      </c>
      <c r="D56" s="75">
        <v>2.7539999000000008E-3</v>
      </c>
      <c r="E56" s="72">
        <v>1.05</v>
      </c>
      <c r="F56" s="49">
        <f t="shared" ref="F56:F79" si="3">D56*E56</f>
        <v>2.8916998950000009E-3</v>
      </c>
      <c r="H56" s="243">
        <v>0.2</v>
      </c>
      <c r="I56" s="196">
        <f t="shared" si="2"/>
        <v>0.99276926164220236</v>
      </c>
      <c r="J56" s="184"/>
    </row>
    <row r="57" spans="1:14" s="49" customFormat="1">
      <c r="A57" s="49">
        <v>1</v>
      </c>
      <c r="B57" s="49">
        <v>1</v>
      </c>
      <c r="C57" s="49">
        <v>3</v>
      </c>
      <c r="D57" s="75">
        <v>2.7539999000000008E-3</v>
      </c>
      <c r="E57" s="72">
        <v>1.0349999999999999</v>
      </c>
      <c r="F57" s="49">
        <f t="shared" si="3"/>
        <v>2.8503898965000006E-3</v>
      </c>
      <c r="H57" s="243">
        <v>0.2</v>
      </c>
      <c r="I57" s="196">
        <f t="shared" si="2"/>
        <v>0.99400926579073756</v>
      </c>
      <c r="J57" s="184"/>
    </row>
    <row r="58" spans="1:14" s="49" customFormat="1">
      <c r="A58" s="49">
        <v>1</v>
      </c>
      <c r="B58" s="49">
        <v>1</v>
      </c>
      <c r="C58" s="49">
        <v>4</v>
      </c>
      <c r="D58" s="75">
        <v>2.7539999000000008E-3</v>
      </c>
      <c r="E58" s="72">
        <v>1</v>
      </c>
      <c r="F58" s="49">
        <f t="shared" si="3"/>
        <v>2.7539999000000008E-3</v>
      </c>
      <c r="H58" s="243">
        <v>0.2</v>
      </c>
      <c r="I58" s="196">
        <f t="shared" si="2"/>
        <v>0.99691483106812606</v>
      </c>
      <c r="J58" s="184"/>
    </row>
    <row r="59" spans="1:14" s="49" customFormat="1" ht="12.5">
      <c r="A59" s="49">
        <v>1</v>
      </c>
      <c r="B59" s="49">
        <v>2</v>
      </c>
      <c r="C59" s="49">
        <v>1</v>
      </c>
      <c r="D59" s="75">
        <v>7.4039996812500005E-3</v>
      </c>
      <c r="E59" s="77">
        <v>1.25</v>
      </c>
      <c r="F59" s="49">
        <f t="shared" si="3"/>
        <v>9.2549996015625011E-3</v>
      </c>
      <c r="H59" s="243">
        <v>0.2</v>
      </c>
      <c r="I59" s="196">
        <f t="shared" si="2"/>
        <v>0.83305029307165679</v>
      </c>
      <c r="J59" s="184"/>
    </row>
    <row r="60" spans="1:14" s="49" customFormat="1">
      <c r="A60" s="49">
        <v>1</v>
      </c>
      <c r="B60" s="49">
        <v>2</v>
      </c>
      <c r="C60" s="49">
        <v>2</v>
      </c>
      <c r="D60" s="75">
        <v>7.4039996812500005E-3</v>
      </c>
      <c r="E60" s="72">
        <v>1.05</v>
      </c>
      <c r="F60" s="49">
        <f t="shared" si="3"/>
        <v>7.7741996653125011E-3</v>
      </c>
      <c r="H60" s="243">
        <v>0.2</v>
      </c>
      <c r="I60" s="196">
        <f t="shared" si="2"/>
        <v>0.86539423846631647</v>
      </c>
      <c r="J60" s="184"/>
    </row>
    <row r="61" spans="1:14" s="49" customFormat="1">
      <c r="A61" s="49">
        <v>1</v>
      </c>
      <c r="B61" s="49">
        <v>2</v>
      </c>
      <c r="C61" s="49">
        <v>3</v>
      </c>
      <c r="D61" s="75">
        <v>7.4039996812500005E-3</v>
      </c>
      <c r="E61" s="72">
        <v>1.0349999999999999</v>
      </c>
      <c r="F61" s="49">
        <f t="shared" si="3"/>
        <v>7.6631396700937498E-3</v>
      </c>
      <c r="H61" s="243">
        <v>0.2</v>
      </c>
      <c r="I61" s="196">
        <f t="shared" si="2"/>
        <v>0.86792299063789691</v>
      </c>
      <c r="J61" s="184"/>
    </row>
    <row r="62" spans="1:14" s="49" customFormat="1">
      <c r="A62" s="49">
        <v>1</v>
      </c>
      <c r="B62" s="49">
        <v>2</v>
      </c>
      <c r="C62" s="49">
        <v>4</v>
      </c>
      <c r="D62" s="75">
        <v>7.4039996812500005E-3</v>
      </c>
      <c r="E62" s="72">
        <v>1</v>
      </c>
      <c r="F62" s="49">
        <f t="shared" si="3"/>
        <v>7.4039996812500005E-3</v>
      </c>
      <c r="H62" s="243">
        <v>0.2</v>
      </c>
      <c r="I62" s="196">
        <f t="shared" si="2"/>
        <v>0.87388205645072603</v>
      </c>
      <c r="J62" s="184"/>
    </row>
    <row r="63" spans="1:14" s="49" customFormat="1" ht="12.5">
      <c r="A63" s="49">
        <v>1</v>
      </c>
      <c r="B63" s="49">
        <v>3</v>
      </c>
      <c r="C63" s="49">
        <v>1</v>
      </c>
      <c r="D63" s="75">
        <v>8.6929996249999995E-3</v>
      </c>
      <c r="E63" s="77">
        <v>1.25</v>
      </c>
      <c r="F63" s="49">
        <f t="shared" si="3"/>
        <v>1.086624953125E-2</v>
      </c>
      <c r="H63" s="243">
        <v>0.2</v>
      </c>
      <c r="I63" s="196">
        <f t="shared" si="2"/>
        <v>0.80053009478148396</v>
      </c>
      <c r="J63" s="184"/>
    </row>
    <row r="64" spans="1:14" s="49" customFormat="1">
      <c r="A64" s="49">
        <v>1</v>
      </c>
      <c r="B64" s="49">
        <v>3</v>
      </c>
      <c r="C64" s="49">
        <v>2</v>
      </c>
      <c r="D64" s="75">
        <v>8.6929996249999995E-3</v>
      </c>
      <c r="E64" s="72">
        <v>1.05</v>
      </c>
      <c r="F64" s="49">
        <f t="shared" si="3"/>
        <v>9.1276496062499997E-3</v>
      </c>
      <c r="H64" s="243">
        <v>0.2</v>
      </c>
      <c r="I64" s="196">
        <f t="shared" si="2"/>
        <v>0.83573529434174509</v>
      </c>
      <c r="J64" s="184"/>
    </row>
    <row r="65" spans="1:10" s="49" customFormat="1">
      <c r="A65" s="49">
        <v>1</v>
      </c>
      <c r="B65" s="49">
        <v>3</v>
      </c>
      <c r="C65" s="49">
        <v>3</v>
      </c>
      <c r="D65" s="75">
        <v>8.6929996249999995E-3</v>
      </c>
      <c r="E65" s="72">
        <v>1.0349999999999999</v>
      </c>
      <c r="F65" s="49">
        <f t="shared" si="3"/>
        <v>8.9972546118749983E-3</v>
      </c>
      <c r="H65" s="243">
        <v>0.2</v>
      </c>
      <c r="I65" s="196">
        <f t="shared" si="2"/>
        <v>0.83850273888337912</v>
      </c>
      <c r="J65" s="184"/>
    </row>
    <row r="66" spans="1:10" s="49" customFormat="1">
      <c r="A66" s="49">
        <v>1</v>
      </c>
      <c r="B66" s="49">
        <v>3</v>
      </c>
      <c r="C66" s="49">
        <v>4</v>
      </c>
      <c r="D66" s="75">
        <v>8.6929996249999995E-3</v>
      </c>
      <c r="E66" s="72">
        <v>1</v>
      </c>
      <c r="F66" s="49">
        <f t="shared" si="3"/>
        <v>8.6929996249999995E-3</v>
      </c>
      <c r="H66" s="243">
        <v>0.2</v>
      </c>
      <c r="I66" s="196">
        <f t="shared" si="2"/>
        <v>0.84503294192692291</v>
      </c>
      <c r="J66" s="184"/>
    </row>
    <row r="67" spans="1:10" s="49" customFormat="1" ht="12.5">
      <c r="A67" s="49">
        <v>1</v>
      </c>
      <c r="B67" s="49">
        <v>4</v>
      </c>
      <c r="C67" s="49">
        <v>1</v>
      </c>
      <c r="D67" s="75">
        <v>6.2346664E-3</v>
      </c>
      <c r="E67" s="77">
        <v>1.25</v>
      </c>
      <c r="F67" s="49">
        <f t="shared" si="3"/>
        <v>7.7933329999999995E-3</v>
      </c>
      <c r="H67" s="243">
        <v>0.2</v>
      </c>
      <c r="I67" s="196">
        <f t="shared" si="2"/>
        <v>0.86496009390531159</v>
      </c>
      <c r="J67" s="184"/>
    </row>
    <row r="68" spans="1:10" s="49" customFormat="1">
      <c r="A68" s="49">
        <v>1</v>
      </c>
      <c r="B68" s="49">
        <v>4</v>
      </c>
      <c r="C68" s="49">
        <v>2</v>
      </c>
      <c r="D68" s="75">
        <v>6.2346664E-3</v>
      </c>
      <c r="E68" s="72">
        <v>1.05</v>
      </c>
      <c r="F68" s="49">
        <f t="shared" si="3"/>
        <v>6.5463997200000002E-3</v>
      </c>
      <c r="H68" s="243">
        <v>0.2</v>
      </c>
      <c r="I68" s="196">
        <f t="shared" si="2"/>
        <v>0.89420824044409319</v>
      </c>
      <c r="J68" s="184"/>
    </row>
    <row r="69" spans="1:10" s="49" customFormat="1">
      <c r="A69" s="49">
        <v>1</v>
      </c>
      <c r="B69" s="49">
        <v>4</v>
      </c>
      <c r="C69" s="49">
        <v>3</v>
      </c>
      <c r="D69" s="75">
        <v>6.2346664E-3</v>
      </c>
      <c r="E69" s="72">
        <v>1.0349999999999999</v>
      </c>
      <c r="F69" s="49">
        <f t="shared" si="3"/>
        <v>6.4528797239999996E-3</v>
      </c>
      <c r="H69" s="243">
        <v>0.2</v>
      </c>
      <c r="I69" s="196">
        <f t="shared" si="2"/>
        <v>0.89648286353241513</v>
      </c>
      <c r="J69" s="184"/>
    </row>
    <row r="70" spans="1:10" s="49" customFormat="1">
      <c r="A70" s="49">
        <v>1</v>
      </c>
      <c r="B70" s="49">
        <v>4</v>
      </c>
      <c r="C70" s="49">
        <v>4</v>
      </c>
      <c r="D70" s="75">
        <v>6.2346664E-3</v>
      </c>
      <c r="E70" s="72">
        <v>1</v>
      </c>
      <c r="F70" s="49">
        <f t="shared" si="3"/>
        <v>6.2346664E-3</v>
      </c>
      <c r="H70" s="243">
        <v>0.2</v>
      </c>
      <c r="I70" s="196">
        <f t="shared" si="2"/>
        <v>0.90183617665036087</v>
      </c>
      <c r="J70" s="184"/>
    </row>
    <row r="71" spans="1:10" s="49" customFormat="1" ht="12.5">
      <c r="A71" s="49">
        <v>1</v>
      </c>
      <c r="B71" s="49">
        <v>5</v>
      </c>
      <c r="C71" s="49">
        <v>1</v>
      </c>
      <c r="D71" s="84">
        <v>4.2549998250000004E-3</v>
      </c>
      <c r="E71" s="77">
        <v>1.25</v>
      </c>
      <c r="F71" s="49">
        <f t="shared" si="3"/>
        <v>5.3187497812500007E-3</v>
      </c>
      <c r="H71" s="243">
        <v>0.2</v>
      </c>
      <c r="I71" s="196">
        <f t="shared" si="2"/>
        <v>0.92503062440223427</v>
      </c>
      <c r="J71" s="184"/>
    </row>
    <row r="72" spans="1:10" s="49" customFormat="1" ht="12.5">
      <c r="A72" s="49">
        <v>1</v>
      </c>
      <c r="B72" s="49">
        <v>5</v>
      </c>
      <c r="C72" s="49">
        <v>2</v>
      </c>
      <c r="D72" s="84">
        <v>4.2549998250000004E-3</v>
      </c>
      <c r="E72" s="72">
        <v>1.05</v>
      </c>
      <c r="F72" s="49">
        <f t="shared" si="3"/>
        <v>4.4677498162500008E-3</v>
      </c>
      <c r="H72" s="243">
        <v>0.2</v>
      </c>
      <c r="I72" s="196">
        <f t="shared" si="2"/>
        <v>0.94769092451430836</v>
      </c>
      <c r="J72" s="184"/>
    </row>
    <row r="73" spans="1:10" s="49" customFormat="1" ht="12.5">
      <c r="A73" s="49">
        <v>1</v>
      </c>
      <c r="B73" s="49">
        <v>5</v>
      </c>
      <c r="C73" s="49">
        <v>3</v>
      </c>
      <c r="D73" s="84">
        <v>4.2549998250000004E-3</v>
      </c>
      <c r="E73" s="72">
        <v>1.0349999999999999</v>
      </c>
      <c r="F73" s="49">
        <f t="shared" si="3"/>
        <v>4.403924818875E-3</v>
      </c>
      <c r="H73" s="243">
        <v>0.2</v>
      </c>
      <c r="I73" s="196">
        <f t="shared" si="2"/>
        <v>0.94943584526251323</v>
      </c>
      <c r="J73" s="184"/>
    </row>
    <row r="74" spans="1:10" s="49" customFormat="1" ht="12.5">
      <c r="A74" s="49">
        <v>1</v>
      </c>
      <c r="B74" s="49">
        <v>5</v>
      </c>
      <c r="C74" s="49">
        <v>4</v>
      </c>
      <c r="D74" s="84">
        <v>4.2549998250000004E-3</v>
      </c>
      <c r="E74" s="72">
        <v>1</v>
      </c>
      <c r="F74" s="49">
        <f t="shared" si="3"/>
        <v>4.2549998250000004E-3</v>
      </c>
      <c r="H74" s="243">
        <v>0.2</v>
      </c>
      <c r="I74" s="196">
        <f t="shared" si="2"/>
        <v>0.95353273022938445</v>
      </c>
      <c r="J74" s="184"/>
    </row>
    <row r="75" spans="1:10" s="49" customFormat="1" ht="12.5">
      <c r="A75" s="49">
        <v>2</v>
      </c>
      <c r="B75" s="49">
        <v>1</v>
      </c>
      <c r="C75" s="49" t="s">
        <v>895</v>
      </c>
      <c r="D75" s="84">
        <v>-1.89288002</v>
      </c>
      <c r="E75" s="49">
        <v>1</v>
      </c>
      <c r="F75" s="49">
        <f t="shared" si="3"/>
        <v>-1.89288002</v>
      </c>
      <c r="H75" s="243">
        <v>0.2</v>
      </c>
      <c r="I75" s="196">
        <f t="shared" si="2"/>
        <v>0.93501573057160448</v>
      </c>
      <c r="J75" s="184"/>
    </row>
    <row r="76" spans="1:10" s="49" customFormat="1" ht="12.5">
      <c r="A76" s="49">
        <v>2</v>
      </c>
      <c r="B76" s="49">
        <v>2</v>
      </c>
      <c r="C76" s="49" t="s">
        <v>895</v>
      </c>
      <c r="D76" s="84">
        <v>-2.3483424981249996</v>
      </c>
      <c r="E76" s="49">
        <v>1</v>
      </c>
      <c r="F76" s="49">
        <f t="shared" si="3"/>
        <v>-2.3483424981249996</v>
      </c>
      <c r="H76" s="243">
        <v>0.2</v>
      </c>
      <c r="I76" s="196">
        <f t="shared" si="2"/>
        <v>0.77374829746174278</v>
      </c>
      <c r="J76" s="184"/>
    </row>
    <row r="77" spans="1:10" s="49" customFormat="1" ht="12.5">
      <c r="A77" s="49">
        <v>2</v>
      </c>
      <c r="B77" s="49">
        <v>3</v>
      </c>
      <c r="C77" s="49" t="s">
        <v>895</v>
      </c>
      <c r="D77" s="84">
        <v>-2.4717799925000001</v>
      </c>
      <c r="E77" s="49">
        <v>1</v>
      </c>
      <c r="F77" s="49">
        <f t="shared" si="3"/>
        <v>-2.4717799925000001</v>
      </c>
      <c r="H77" s="243">
        <v>0.2</v>
      </c>
      <c r="I77" s="196">
        <f t="shared" si="2"/>
        <v>0.71789048940051314</v>
      </c>
      <c r="J77" s="184"/>
    </row>
    <row r="78" spans="1:10" s="49" customFormat="1" ht="12.5">
      <c r="A78" s="49">
        <v>2</v>
      </c>
      <c r="B78" s="49">
        <v>4</v>
      </c>
      <c r="C78" s="49" t="s">
        <v>895</v>
      </c>
      <c r="D78" s="84">
        <v>-2.2356866699999998</v>
      </c>
      <c r="E78" s="49">
        <v>1</v>
      </c>
      <c r="F78" s="49">
        <f t="shared" si="3"/>
        <v>-2.2356866699999998</v>
      </c>
      <c r="H78" s="243">
        <v>0.2</v>
      </c>
      <c r="I78" s="196">
        <f t="shared" si="2"/>
        <v>0.82080889048126604</v>
      </c>
      <c r="J78" s="184"/>
    </row>
    <row r="79" spans="1:10" s="49" customFormat="1" ht="12.5">
      <c r="A79" s="49">
        <v>2</v>
      </c>
      <c r="B79" s="49">
        <v>5</v>
      </c>
      <c r="C79" s="49" t="s">
        <v>895</v>
      </c>
      <c r="D79" s="84">
        <v>-2.0427200124999998</v>
      </c>
      <c r="E79" s="49">
        <v>1</v>
      </c>
      <c r="F79" s="49">
        <f t="shared" si="3"/>
        <v>-2.0427200124999998</v>
      </c>
      <c r="H79" s="243">
        <v>0.2</v>
      </c>
      <c r="I79" s="196">
        <f t="shared" si="2"/>
        <v>0.89099559043262255</v>
      </c>
      <c r="J79" s="184"/>
    </row>
    <row r="80" spans="1:10" s="49" customFormat="1">
      <c r="I80" s="184"/>
      <c r="J80" s="184"/>
    </row>
    <row r="81" spans="9:10" s="49" customFormat="1">
      <c r="I81" s="184"/>
      <c r="J81" s="184"/>
    </row>
    <row r="82" spans="9:10" s="49" customFormat="1">
      <c r="I82" s="184"/>
      <c r="J82" s="184"/>
    </row>
    <row r="83" spans="9:10" s="49" customFormat="1">
      <c r="I83" s="184"/>
      <c r="J83" s="184"/>
    </row>
    <row r="84" spans="9:10" s="49" customFormat="1">
      <c r="I84" s="184"/>
      <c r="J84" s="184"/>
    </row>
    <row r="85" spans="9:10" s="49" customFormat="1">
      <c r="I85" s="184"/>
      <c r="J85" s="184"/>
    </row>
    <row r="86" spans="9:10" s="49" customFormat="1">
      <c r="I86" s="184"/>
      <c r="J86" s="184"/>
    </row>
    <row r="87" spans="9:10" s="49" customFormat="1">
      <c r="I87" s="184"/>
      <c r="J87" s="184"/>
    </row>
    <row r="88" spans="9:10" s="49" customFormat="1">
      <c r="I88" s="184"/>
      <c r="J88" s="184"/>
    </row>
    <row r="89" spans="9:10" s="49" customFormat="1">
      <c r="I89" s="184"/>
      <c r="J89" s="184"/>
    </row>
    <row r="90" spans="9:10" s="49" customFormat="1">
      <c r="I90" s="184"/>
      <c r="J90" s="184"/>
    </row>
    <row r="91" spans="9:10" s="49" customFormat="1">
      <c r="I91" s="184"/>
      <c r="J91" s="184"/>
    </row>
    <row r="92" spans="9:10" s="49" customFormat="1">
      <c r="I92" s="184"/>
      <c r="J92" s="184"/>
    </row>
    <row r="93" spans="9:10" s="49" customFormat="1">
      <c r="I93" s="184"/>
      <c r="J93" s="184"/>
    </row>
    <row r="94" spans="9:10" s="49" customFormat="1">
      <c r="I94" s="184"/>
      <c r="J94" s="184"/>
    </row>
    <row r="95" spans="9:10" s="49" customFormat="1">
      <c r="I95" s="184"/>
      <c r="J95" s="184"/>
    </row>
    <row r="96" spans="9:10" s="49" customFormat="1">
      <c r="I96" s="184"/>
      <c r="J96" s="184"/>
    </row>
    <row r="97" spans="9:10" s="49" customFormat="1">
      <c r="I97" s="184"/>
      <c r="J97" s="184"/>
    </row>
    <row r="98" spans="9:10" s="49" customFormat="1">
      <c r="I98" s="184"/>
      <c r="J98" s="184"/>
    </row>
    <row r="99" spans="9:10" s="49" customFormat="1">
      <c r="I99" s="184"/>
      <c r="J99" s="184"/>
    </row>
    <row r="100" spans="9:10" s="49" customFormat="1">
      <c r="I100" s="184"/>
      <c r="J100" s="184"/>
    </row>
    <row r="101" spans="9:10" s="49" customFormat="1">
      <c r="I101" s="184"/>
      <c r="J101" s="184"/>
    </row>
    <row r="102" spans="9:10" s="49" customFormat="1">
      <c r="I102" s="184"/>
      <c r="J102" s="184"/>
    </row>
    <row r="103" spans="9:10" s="49" customFormat="1">
      <c r="I103" s="184"/>
      <c r="J103" s="184"/>
    </row>
    <row r="104" spans="9:10" s="49" customFormat="1">
      <c r="I104" s="184"/>
      <c r="J104" s="184"/>
    </row>
    <row r="105" spans="9:10" s="49" customFormat="1">
      <c r="I105" s="184"/>
      <c r="J105" s="184"/>
    </row>
    <row r="106" spans="9:10" s="49" customFormat="1">
      <c r="I106" s="184"/>
      <c r="J106" s="184"/>
    </row>
    <row r="107" spans="9:10" s="49" customFormat="1">
      <c r="I107" s="184"/>
      <c r="J107" s="184"/>
    </row>
    <row r="108" spans="9:10" s="49" customFormat="1">
      <c r="I108" s="184"/>
      <c r="J108" s="184"/>
    </row>
    <row r="109" spans="9:10" s="49" customFormat="1">
      <c r="I109" s="184"/>
      <c r="J109" s="184"/>
    </row>
    <row r="110" spans="9:10" s="49" customFormat="1">
      <c r="I110" s="184"/>
      <c r="J110" s="184"/>
    </row>
    <row r="111" spans="9:10" s="49" customFormat="1">
      <c r="I111" s="184"/>
      <c r="J111" s="184"/>
    </row>
    <row r="112" spans="9:10" s="49" customFormat="1">
      <c r="I112" s="184"/>
      <c r="J112" s="184"/>
    </row>
    <row r="113" spans="9:10" s="49" customFormat="1">
      <c r="I113" s="184"/>
      <c r="J113" s="184"/>
    </row>
    <row r="114" spans="9:10" s="49" customFormat="1">
      <c r="I114" s="184"/>
      <c r="J114" s="184"/>
    </row>
    <row r="115" spans="9:10" s="49" customFormat="1">
      <c r="I115" s="184"/>
      <c r="J115" s="184"/>
    </row>
    <row r="116" spans="9:10" s="49" customFormat="1">
      <c r="I116" s="184"/>
      <c r="J116" s="184"/>
    </row>
    <row r="117" spans="9:10" s="49" customFormat="1">
      <c r="I117" s="184"/>
      <c r="J117" s="184"/>
    </row>
    <row r="118" spans="9:10" s="49" customFormat="1">
      <c r="I118" s="184"/>
      <c r="J118" s="184"/>
    </row>
    <row r="119" spans="9:10" s="49" customFormat="1">
      <c r="I119" s="184"/>
      <c r="J119" s="184"/>
    </row>
    <row r="120" spans="9:10" s="49" customFormat="1">
      <c r="I120" s="184"/>
      <c r="J120" s="184"/>
    </row>
    <row r="121" spans="9:10" s="49" customFormat="1">
      <c r="I121" s="184"/>
      <c r="J121" s="184"/>
    </row>
    <row r="122" spans="9:10" s="49" customFormat="1">
      <c r="I122" s="184"/>
      <c r="J122" s="184"/>
    </row>
    <row r="123" spans="9:10" s="49" customFormat="1">
      <c r="I123" s="184"/>
      <c r="J123" s="184"/>
    </row>
    <row r="124" spans="9:10" s="49" customFormat="1">
      <c r="I124" s="184"/>
      <c r="J124" s="184"/>
    </row>
    <row r="125" spans="9:10" s="49" customFormat="1">
      <c r="I125" s="184"/>
      <c r="J125" s="184"/>
    </row>
    <row r="126" spans="9:10" s="49" customFormat="1">
      <c r="I126" s="184"/>
      <c r="J126" s="184"/>
    </row>
    <row r="127" spans="9:10" s="49" customFormat="1">
      <c r="I127" s="184"/>
      <c r="J127" s="184"/>
    </row>
    <row r="128" spans="9:10" s="49" customFormat="1">
      <c r="I128" s="184"/>
      <c r="J128" s="184"/>
    </row>
    <row r="129" spans="9:10" s="49" customFormat="1">
      <c r="I129" s="184"/>
      <c r="J129" s="184"/>
    </row>
    <row r="130" spans="9:10" s="49" customFormat="1">
      <c r="I130" s="184"/>
      <c r="J130" s="184"/>
    </row>
    <row r="131" spans="9:10" s="49" customFormat="1">
      <c r="I131" s="184"/>
      <c r="J131" s="184"/>
    </row>
    <row r="132" spans="9:10" s="49" customFormat="1">
      <c r="I132" s="184"/>
      <c r="J132" s="184"/>
    </row>
    <row r="133" spans="9:10" s="49" customFormat="1">
      <c r="I133" s="184"/>
      <c r="J133" s="184"/>
    </row>
    <row r="134" spans="9:10" s="49" customFormat="1">
      <c r="I134" s="184"/>
      <c r="J134" s="184"/>
    </row>
    <row r="135" spans="9:10" s="49" customFormat="1">
      <c r="I135" s="184"/>
      <c r="J135" s="184"/>
    </row>
    <row r="136" spans="9:10" s="49" customFormat="1">
      <c r="I136" s="184"/>
      <c r="J136" s="184"/>
    </row>
    <row r="137" spans="9:10" s="49" customFormat="1">
      <c r="I137" s="184"/>
      <c r="J137" s="184"/>
    </row>
    <row r="138" spans="9:10" s="49" customFormat="1">
      <c r="I138" s="184"/>
      <c r="J138" s="184"/>
    </row>
    <row r="139" spans="9:10" s="49" customFormat="1">
      <c r="I139" s="184"/>
      <c r="J139" s="184"/>
    </row>
    <row r="140" spans="9:10" s="49" customFormat="1">
      <c r="I140" s="184"/>
      <c r="J140" s="184"/>
    </row>
    <row r="141" spans="9:10" s="49" customFormat="1">
      <c r="I141" s="184"/>
      <c r="J141" s="184"/>
    </row>
    <row r="142" spans="9:10" s="49" customFormat="1">
      <c r="I142" s="184"/>
      <c r="J142" s="184"/>
    </row>
    <row r="143" spans="9:10" s="49" customFormat="1">
      <c r="I143" s="184"/>
      <c r="J143" s="184"/>
    </row>
    <row r="144" spans="9:10" s="49" customFormat="1">
      <c r="I144" s="184"/>
      <c r="J144" s="184"/>
    </row>
    <row r="145" spans="9:10" s="49" customFormat="1">
      <c r="I145" s="184"/>
      <c r="J145" s="184"/>
    </row>
    <row r="146" spans="9:10" s="49" customFormat="1">
      <c r="I146" s="184"/>
      <c r="J146" s="184"/>
    </row>
    <row r="147" spans="9:10" s="49" customFormat="1">
      <c r="I147" s="184"/>
      <c r="J147" s="184"/>
    </row>
    <row r="148" spans="9:10" s="49" customFormat="1">
      <c r="I148" s="184"/>
      <c r="J148" s="184"/>
    </row>
    <row r="149" spans="9:10" s="49" customFormat="1">
      <c r="I149" s="184"/>
      <c r="J149" s="184"/>
    </row>
    <row r="150" spans="9:10" s="49" customFormat="1">
      <c r="I150" s="184"/>
      <c r="J150" s="184"/>
    </row>
    <row r="151" spans="9:10" s="49" customFormat="1">
      <c r="I151" s="184"/>
      <c r="J151" s="184"/>
    </row>
    <row r="152" spans="9:10" s="49" customFormat="1">
      <c r="I152" s="184"/>
      <c r="J152" s="184"/>
    </row>
    <row r="153" spans="9:10">
      <c r="I153" s="184"/>
      <c r="J153" s="184"/>
    </row>
    <row r="154" spans="9:10">
      <c r="I154" s="184"/>
      <c r="J154" s="184"/>
    </row>
    <row r="155" spans="9:10">
      <c r="I155" s="184"/>
      <c r="J155" s="184"/>
    </row>
    <row r="156" spans="9:10">
      <c r="I156" s="184"/>
      <c r="J156" s="184"/>
    </row>
    <row r="157" spans="9:10">
      <c r="I157" s="184"/>
      <c r="J157" s="184"/>
    </row>
    <row r="158" spans="9:10">
      <c r="I158" s="184"/>
      <c r="J158" s="184"/>
    </row>
    <row r="159" spans="9:10">
      <c r="I159" s="184"/>
      <c r="J159" s="184"/>
    </row>
    <row r="160" spans="9:10">
      <c r="I160" s="184"/>
      <c r="J160" s="184"/>
    </row>
    <row r="161" spans="9:10">
      <c r="I161" s="184"/>
      <c r="J161" s="184"/>
    </row>
    <row r="162" spans="9:10">
      <c r="I162" s="184"/>
      <c r="J162" s="184"/>
    </row>
    <row r="163" spans="9:10">
      <c r="I163" s="184"/>
      <c r="J163" s="184"/>
    </row>
    <row r="164" spans="9:10">
      <c r="I164" s="184"/>
      <c r="J164" s="184"/>
    </row>
    <row r="165" spans="9:10">
      <c r="I165" s="184"/>
      <c r="J165" s="184"/>
    </row>
    <row r="166" spans="9:10">
      <c r="I166" s="184"/>
      <c r="J166" s="184"/>
    </row>
    <row r="167" spans="9:10">
      <c r="I167" s="184"/>
      <c r="J167" s="184"/>
    </row>
    <row r="168" spans="9:10">
      <c r="I168" s="184"/>
      <c r="J168" s="184"/>
    </row>
    <row r="169" spans="9:10">
      <c r="I169" s="184"/>
      <c r="J169" s="184"/>
    </row>
    <row r="170" spans="9:10">
      <c r="I170" s="184"/>
      <c r="J170" s="184"/>
    </row>
    <row r="171" spans="9:10">
      <c r="I171" s="184"/>
      <c r="J171" s="184"/>
    </row>
    <row r="172" spans="9:10">
      <c r="I172" s="184"/>
      <c r="J172" s="184"/>
    </row>
    <row r="173" spans="9:10">
      <c r="I173" s="184"/>
      <c r="J173" s="184"/>
    </row>
    <row r="174" spans="9:10">
      <c r="I174" s="184"/>
      <c r="J174" s="184"/>
    </row>
    <row r="175" spans="9:10">
      <c r="I175" s="184"/>
      <c r="J175" s="184"/>
    </row>
    <row r="176" spans="9:10">
      <c r="I176" s="184"/>
      <c r="J176" s="184"/>
    </row>
    <row r="177" spans="9:10">
      <c r="I177" s="184"/>
      <c r="J177" s="184"/>
    </row>
    <row r="178" spans="9:10">
      <c r="I178" s="184"/>
      <c r="J178" s="184"/>
    </row>
    <row r="179" spans="9:10">
      <c r="I179" s="184"/>
      <c r="J179" s="184"/>
    </row>
    <row r="180" spans="9:10">
      <c r="I180" s="184"/>
      <c r="J180" s="184"/>
    </row>
    <row r="181" spans="9:10">
      <c r="I181" s="184"/>
      <c r="J181" s="184"/>
    </row>
    <row r="182" spans="9:10">
      <c r="I182" s="184"/>
      <c r="J182" s="184"/>
    </row>
    <row r="183" spans="9:10">
      <c r="I183" s="184"/>
      <c r="J183" s="184"/>
    </row>
    <row r="184" spans="9:10">
      <c r="I184" s="184"/>
      <c r="J184" s="184"/>
    </row>
    <row r="185" spans="9:10">
      <c r="I185" s="184"/>
      <c r="J185" s="184"/>
    </row>
    <row r="186" spans="9:10">
      <c r="I186" s="184"/>
      <c r="J186" s="184"/>
    </row>
    <row r="187" spans="9:10">
      <c r="I187" s="184"/>
      <c r="J187" s="184"/>
    </row>
    <row r="188" spans="9:10">
      <c r="I188" s="184"/>
      <c r="J188" s="184"/>
    </row>
    <row r="189" spans="9:10">
      <c r="I189" s="184"/>
      <c r="J189" s="184"/>
    </row>
    <row r="190" spans="9:10">
      <c r="I190" s="184"/>
      <c r="J190" s="184"/>
    </row>
    <row r="191" spans="9:10">
      <c r="I191" s="184"/>
      <c r="J191" s="184"/>
    </row>
    <row r="192" spans="9:10">
      <c r="I192" s="184"/>
      <c r="J192" s="184"/>
    </row>
    <row r="193" spans="9:10">
      <c r="I193" s="184"/>
      <c r="J193" s="184"/>
    </row>
    <row r="194" spans="9:10">
      <c r="I194" s="184"/>
      <c r="J194" s="184"/>
    </row>
    <row r="195" spans="9:10">
      <c r="I195" s="184"/>
      <c r="J195" s="184"/>
    </row>
    <row r="196" spans="9:10">
      <c r="I196" s="184"/>
      <c r="J196" s="184"/>
    </row>
    <row r="197" spans="9:10">
      <c r="I197" s="184"/>
      <c r="J197" s="184"/>
    </row>
    <row r="198" spans="9:10">
      <c r="I198" s="184"/>
      <c r="J198" s="184"/>
    </row>
    <row r="199" spans="9:10">
      <c r="I199" s="184"/>
      <c r="J199" s="184"/>
    </row>
    <row r="200" spans="9:10">
      <c r="I200" s="184"/>
      <c r="J200" s="184"/>
    </row>
    <row r="201" spans="9:10">
      <c r="I201" s="184"/>
      <c r="J201" s="184"/>
    </row>
    <row r="202" spans="9:10">
      <c r="I202" s="184"/>
      <c r="J202" s="184"/>
    </row>
    <row r="203" spans="9:10">
      <c r="I203" s="184"/>
      <c r="J203" s="184"/>
    </row>
    <row r="204" spans="9:10">
      <c r="I204" s="184"/>
      <c r="J204" s="184"/>
    </row>
    <row r="205" spans="9:10">
      <c r="I205" s="184"/>
      <c r="J205" s="184"/>
    </row>
    <row r="206" spans="9:10">
      <c r="I206" s="184"/>
      <c r="J206" s="184"/>
    </row>
    <row r="207" spans="9:10">
      <c r="I207" s="184"/>
      <c r="J207" s="184"/>
    </row>
    <row r="208" spans="9:10">
      <c r="I208" s="184"/>
      <c r="J208" s="184"/>
    </row>
    <row r="209" spans="9:10">
      <c r="I209" s="184"/>
      <c r="J209" s="184"/>
    </row>
    <row r="210" spans="9:10">
      <c r="I210" s="184"/>
      <c r="J210" s="184"/>
    </row>
    <row r="211" spans="9:10">
      <c r="I211" s="184"/>
      <c r="J211" s="184"/>
    </row>
    <row r="212" spans="9:10">
      <c r="I212" s="184"/>
      <c r="J212" s="184"/>
    </row>
    <row r="213" spans="9:10">
      <c r="I213" s="184"/>
      <c r="J213" s="184"/>
    </row>
    <row r="214" spans="9:10">
      <c r="I214" s="184"/>
      <c r="J214" s="184"/>
    </row>
    <row r="215" spans="9:10">
      <c r="I215" s="184"/>
      <c r="J215" s="184"/>
    </row>
    <row r="216" spans="9:10">
      <c r="I216" s="184"/>
      <c r="J216" s="184"/>
    </row>
    <row r="217" spans="9:10">
      <c r="I217" s="184"/>
      <c r="J217" s="184"/>
    </row>
    <row r="218" spans="9:10">
      <c r="I218" s="184"/>
      <c r="J218" s="184"/>
    </row>
    <row r="219" spans="9:10">
      <c r="I219" s="184"/>
      <c r="J219" s="184"/>
    </row>
    <row r="220" spans="9:10">
      <c r="I220" s="184"/>
      <c r="J220" s="184"/>
    </row>
    <row r="221" spans="9:10">
      <c r="I221" s="184"/>
      <c r="J221" s="184"/>
    </row>
    <row r="222" spans="9:10">
      <c r="I222" s="184"/>
      <c r="J222" s="184"/>
    </row>
    <row r="223" spans="9:10">
      <c r="I223" s="184"/>
      <c r="J223" s="184"/>
    </row>
    <row r="224" spans="9:10">
      <c r="I224" s="184"/>
      <c r="J224" s="184"/>
    </row>
    <row r="225" spans="9:10">
      <c r="I225" s="184"/>
      <c r="J225" s="184"/>
    </row>
    <row r="226" spans="9:10">
      <c r="I226" s="184"/>
      <c r="J226" s="184"/>
    </row>
    <row r="227" spans="9:10">
      <c r="I227" s="184"/>
      <c r="J227" s="184"/>
    </row>
    <row r="228" spans="9:10">
      <c r="I228" s="184"/>
      <c r="J228" s="184"/>
    </row>
    <row r="229" spans="9:10">
      <c r="I229" s="184"/>
      <c r="J229" s="184"/>
    </row>
    <row r="230" spans="9:10">
      <c r="I230" s="184"/>
      <c r="J230" s="184"/>
    </row>
    <row r="231" spans="9:10">
      <c r="I231" s="184"/>
      <c r="J231" s="184"/>
    </row>
    <row r="232" spans="9:10">
      <c r="I232" s="184"/>
      <c r="J232" s="184"/>
    </row>
    <row r="233" spans="9:10">
      <c r="I233" s="184"/>
      <c r="J233" s="184"/>
    </row>
    <row r="234" spans="9:10">
      <c r="I234" s="184"/>
      <c r="J234" s="184"/>
    </row>
    <row r="235" spans="9:10">
      <c r="I235" s="184"/>
      <c r="J235" s="184"/>
    </row>
    <row r="236" spans="9:10">
      <c r="I236" s="184"/>
      <c r="J236" s="184"/>
    </row>
    <row r="237" spans="9:10">
      <c r="I237" s="184"/>
      <c r="J237" s="184"/>
    </row>
    <row r="238" spans="9:10">
      <c r="I238" s="184"/>
      <c r="J238" s="184"/>
    </row>
    <row r="239" spans="9:10">
      <c r="I239" s="184"/>
      <c r="J239" s="184"/>
    </row>
    <row r="240" spans="9:10">
      <c r="I240" s="184"/>
      <c r="J240" s="184"/>
    </row>
    <row r="241" spans="9:10">
      <c r="I241" s="184"/>
      <c r="J241" s="184"/>
    </row>
    <row r="242" spans="9:10">
      <c r="I242" s="184"/>
      <c r="J242" s="184"/>
    </row>
    <row r="243" spans="9:10">
      <c r="I243" s="184"/>
      <c r="J243" s="184"/>
    </row>
    <row r="244" spans="9:10">
      <c r="I244" s="184"/>
      <c r="J244" s="184"/>
    </row>
    <row r="245" spans="9:10">
      <c r="I245" s="184"/>
      <c r="J245" s="184"/>
    </row>
    <row r="246" spans="9:10">
      <c r="I246" s="184"/>
      <c r="J246" s="184"/>
    </row>
    <row r="247" spans="9:10">
      <c r="I247" s="184"/>
      <c r="J247" s="184"/>
    </row>
    <row r="248" spans="9:10">
      <c r="I248" s="184"/>
      <c r="J248" s="184"/>
    </row>
    <row r="249" spans="9:10">
      <c r="I249" s="184"/>
      <c r="J249" s="184"/>
    </row>
    <row r="250" spans="9:10">
      <c r="I250" s="184"/>
      <c r="J250" s="184"/>
    </row>
    <row r="251" spans="9:10">
      <c r="I251" s="184"/>
      <c r="J251" s="184"/>
    </row>
    <row r="252" spans="9:10">
      <c r="I252" s="184"/>
      <c r="J252" s="184"/>
    </row>
    <row r="253" spans="9:10">
      <c r="I253" s="184"/>
      <c r="J253" s="184"/>
    </row>
    <row r="254" spans="9:10">
      <c r="I254" s="184"/>
      <c r="J254" s="184"/>
    </row>
    <row r="255" spans="9:10">
      <c r="I255" s="184"/>
      <c r="J255" s="184"/>
    </row>
    <row r="256" spans="9:10">
      <c r="I256" s="184"/>
      <c r="J256" s="184"/>
    </row>
    <row r="257" spans="9:10">
      <c r="I257" s="184"/>
      <c r="J257" s="184"/>
    </row>
    <row r="258" spans="9:10">
      <c r="I258" s="184"/>
      <c r="J258" s="184"/>
    </row>
    <row r="259" spans="9:10">
      <c r="I259" s="184"/>
      <c r="J259" s="184"/>
    </row>
    <row r="260" spans="9:10">
      <c r="I260" s="184"/>
      <c r="J260" s="184"/>
    </row>
    <row r="261" spans="9:10">
      <c r="I261" s="184"/>
      <c r="J261" s="184"/>
    </row>
    <row r="262" spans="9:10">
      <c r="I262" s="184"/>
      <c r="J262" s="184"/>
    </row>
    <row r="263" spans="9:10">
      <c r="I263" s="184"/>
      <c r="J263" s="184"/>
    </row>
    <row r="264" spans="9:10">
      <c r="I264" s="184"/>
      <c r="J264" s="184"/>
    </row>
    <row r="265" spans="9:10">
      <c r="I265" s="184"/>
      <c r="J265" s="184"/>
    </row>
    <row r="266" spans="9:10">
      <c r="I266" s="184"/>
      <c r="J266" s="184"/>
    </row>
    <row r="267" spans="9:10">
      <c r="I267" s="184"/>
      <c r="J267" s="184"/>
    </row>
    <row r="268" spans="9:10">
      <c r="I268" s="184"/>
      <c r="J268" s="184"/>
    </row>
    <row r="269" spans="9:10">
      <c r="I269" s="184"/>
      <c r="J269" s="184"/>
    </row>
    <row r="270" spans="9:10">
      <c r="I270" s="184"/>
      <c r="J270" s="184"/>
    </row>
    <row r="271" spans="9:10">
      <c r="I271" s="184"/>
      <c r="J271" s="184"/>
    </row>
    <row r="272" spans="9:10">
      <c r="I272" s="184"/>
      <c r="J272" s="184"/>
    </row>
    <row r="273" spans="9:10">
      <c r="I273" s="184"/>
      <c r="J273" s="184"/>
    </row>
    <row r="274" spans="9:10">
      <c r="I274" s="184"/>
      <c r="J274" s="184"/>
    </row>
    <row r="275" spans="9:10">
      <c r="I275" s="184"/>
      <c r="J275" s="184"/>
    </row>
    <row r="276" spans="9:10">
      <c r="I276" s="184"/>
      <c r="J276" s="184"/>
    </row>
    <row r="277" spans="9:10">
      <c r="I277" s="184"/>
      <c r="J277" s="184"/>
    </row>
    <row r="278" spans="9:10">
      <c r="I278" s="184"/>
      <c r="J278" s="184"/>
    </row>
    <row r="279" spans="9:10">
      <c r="I279" s="184"/>
      <c r="J279" s="184"/>
    </row>
    <row r="280" spans="9:10">
      <c r="I280" s="184"/>
      <c r="J280" s="184"/>
    </row>
    <row r="281" spans="9:10">
      <c r="I281" s="184"/>
      <c r="J281" s="184"/>
    </row>
    <row r="282" spans="9:10">
      <c r="I282" s="184"/>
      <c r="J282" s="184"/>
    </row>
    <row r="283" spans="9:10">
      <c r="I283" s="184"/>
      <c r="J283" s="184"/>
    </row>
    <row r="284" spans="9:10">
      <c r="I284" s="184"/>
      <c r="J284" s="184"/>
    </row>
    <row r="285" spans="9:10">
      <c r="I285" s="184"/>
      <c r="J285" s="184"/>
    </row>
    <row r="286" spans="9:10">
      <c r="I286" s="184"/>
      <c r="J286" s="184"/>
    </row>
    <row r="287" spans="9:10">
      <c r="I287" s="184"/>
      <c r="J287" s="184"/>
    </row>
    <row r="288" spans="9:10">
      <c r="I288" s="184"/>
      <c r="J288" s="184"/>
    </row>
    <row r="289" spans="9:10">
      <c r="I289" s="184"/>
      <c r="J289" s="184"/>
    </row>
    <row r="290" spans="9:10">
      <c r="I290" s="184"/>
      <c r="J290" s="184"/>
    </row>
    <row r="291" spans="9:10">
      <c r="I291" s="184"/>
      <c r="J291" s="184"/>
    </row>
    <row r="292" spans="9:10">
      <c r="I292" s="184"/>
      <c r="J292" s="184"/>
    </row>
    <row r="293" spans="9:10">
      <c r="I293" s="184"/>
      <c r="J293" s="184"/>
    </row>
    <row r="294" spans="9:10">
      <c r="I294" s="184"/>
      <c r="J294" s="184"/>
    </row>
    <row r="295" spans="9:10">
      <c r="I295" s="184"/>
      <c r="J295" s="184"/>
    </row>
    <row r="296" spans="9:10">
      <c r="I296" s="184"/>
      <c r="J296" s="184"/>
    </row>
    <row r="297" spans="9:10">
      <c r="I297" s="184"/>
      <c r="J297" s="184"/>
    </row>
    <row r="298" spans="9:10">
      <c r="I298" s="184"/>
      <c r="J298" s="184"/>
    </row>
    <row r="299" spans="9:10">
      <c r="I299" s="184"/>
      <c r="J299" s="184"/>
    </row>
    <row r="300" spans="9:10">
      <c r="I300" s="184"/>
      <c r="J300" s="184"/>
    </row>
    <row r="301" spans="9:10">
      <c r="I301" s="184"/>
      <c r="J301" s="184"/>
    </row>
    <row r="302" spans="9:10">
      <c r="I302" s="184"/>
      <c r="J302" s="184"/>
    </row>
    <row r="303" spans="9:10">
      <c r="I303" s="184"/>
      <c r="J303" s="184"/>
    </row>
    <row r="304" spans="9:10">
      <c r="I304" s="184"/>
      <c r="J304" s="184"/>
    </row>
    <row r="305" spans="9:10">
      <c r="I305" s="184"/>
      <c r="J305" s="184"/>
    </row>
    <row r="306" spans="9:10">
      <c r="I306" s="184"/>
      <c r="J306" s="184"/>
    </row>
    <row r="307" spans="9:10">
      <c r="I307" s="184"/>
      <c r="J307" s="184"/>
    </row>
    <row r="308" spans="9:10">
      <c r="I308" s="184"/>
      <c r="J308" s="184"/>
    </row>
    <row r="309" spans="9:10">
      <c r="I309" s="184"/>
      <c r="J309" s="184"/>
    </row>
    <row r="310" spans="9:10">
      <c r="I310" s="184"/>
      <c r="J310" s="184"/>
    </row>
    <row r="311" spans="9:10">
      <c r="I311" s="184"/>
      <c r="J311" s="184"/>
    </row>
    <row r="312" spans="9:10">
      <c r="I312" s="184"/>
      <c r="J312" s="184"/>
    </row>
    <row r="313" spans="9:10">
      <c r="I313" s="184"/>
      <c r="J313" s="184"/>
    </row>
    <row r="314" spans="9:10">
      <c r="I314" s="184"/>
      <c r="J314" s="184"/>
    </row>
    <row r="315" spans="9:10">
      <c r="I315" s="184"/>
      <c r="J315" s="184"/>
    </row>
    <row r="316" spans="9:10">
      <c r="I316" s="184"/>
      <c r="J316" s="184"/>
    </row>
    <row r="317" spans="9:10">
      <c r="I317" s="184"/>
      <c r="J317" s="184"/>
    </row>
    <row r="318" spans="9:10">
      <c r="I318" s="184"/>
      <c r="J318" s="184"/>
    </row>
    <row r="319" spans="9:10">
      <c r="I319" s="184"/>
      <c r="J319" s="184"/>
    </row>
    <row r="320" spans="9:10">
      <c r="I320" s="184"/>
      <c r="J320" s="184"/>
    </row>
    <row r="321" spans="9:10">
      <c r="I321" s="184"/>
      <c r="J321" s="184"/>
    </row>
    <row r="322" spans="9:10">
      <c r="I322" s="184"/>
      <c r="J322" s="184"/>
    </row>
    <row r="323" spans="9:10">
      <c r="I323" s="184"/>
      <c r="J323" s="184"/>
    </row>
    <row r="324" spans="9:10">
      <c r="I324" s="184"/>
      <c r="J324" s="184"/>
    </row>
    <row r="325" spans="9:10">
      <c r="I325" s="184"/>
      <c r="J325" s="184"/>
    </row>
    <row r="326" spans="9:10">
      <c r="I326" s="184"/>
      <c r="J326" s="184"/>
    </row>
    <row r="327" spans="9:10">
      <c r="I327" s="184"/>
      <c r="J327" s="184"/>
    </row>
    <row r="328" spans="9:10">
      <c r="I328" s="184"/>
      <c r="J328" s="184"/>
    </row>
    <row r="329" spans="9:10">
      <c r="I329" s="184"/>
      <c r="J329" s="184"/>
    </row>
    <row r="330" spans="9:10">
      <c r="I330" s="184"/>
      <c r="J330" s="184"/>
    </row>
    <row r="331" spans="9:10">
      <c r="I331" s="184"/>
      <c r="J331" s="184"/>
    </row>
    <row r="332" spans="9:10">
      <c r="I332" s="184"/>
      <c r="J332" s="184"/>
    </row>
    <row r="333" spans="9:10">
      <c r="I333" s="184"/>
      <c r="J333" s="184"/>
    </row>
    <row r="334" spans="9:10">
      <c r="I334" s="184"/>
      <c r="J334" s="184"/>
    </row>
    <row r="335" spans="9:10">
      <c r="I335" s="184"/>
      <c r="J335" s="184"/>
    </row>
    <row r="336" spans="9:10">
      <c r="I336" s="184"/>
      <c r="J336" s="184"/>
    </row>
    <row r="337" spans="9:10">
      <c r="I337" s="184"/>
      <c r="J337" s="184"/>
    </row>
    <row r="338" spans="9:10">
      <c r="I338" s="184"/>
      <c r="J338" s="184"/>
    </row>
    <row r="339" spans="9:10">
      <c r="I339" s="184"/>
      <c r="J339" s="184"/>
    </row>
    <row r="340" spans="9:10">
      <c r="I340" s="184"/>
      <c r="J340" s="184"/>
    </row>
    <row r="341" spans="9:10">
      <c r="I341" s="184"/>
      <c r="J341" s="184"/>
    </row>
    <row r="342" spans="9:10">
      <c r="I342" s="184"/>
      <c r="J342" s="184"/>
    </row>
    <row r="343" spans="9:10">
      <c r="I343" s="184"/>
      <c r="J343" s="184"/>
    </row>
    <row r="344" spans="9:10">
      <c r="I344" s="184"/>
      <c r="J344" s="184"/>
    </row>
    <row r="345" spans="9:10">
      <c r="I345" s="184"/>
      <c r="J345" s="184"/>
    </row>
    <row r="346" spans="9:10">
      <c r="I346" s="184"/>
      <c r="J346" s="184"/>
    </row>
    <row r="347" spans="9:10">
      <c r="I347" s="184"/>
      <c r="J347" s="184"/>
    </row>
    <row r="348" spans="9:10">
      <c r="I348" s="184"/>
      <c r="J348" s="184"/>
    </row>
    <row r="349" spans="9:10">
      <c r="I349" s="184"/>
      <c r="J349" s="184"/>
    </row>
    <row r="350" spans="9:10">
      <c r="I350" s="184"/>
      <c r="J350" s="184"/>
    </row>
    <row r="351" spans="9:10">
      <c r="I351" s="184"/>
      <c r="J351" s="184"/>
    </row>
    <row r="352" spans="9:10">
      <c r="I352" s="184"/>
      <c r="J352" s="184"/>
    </row>
    <row r="353" spans="9:10">
      <c r="I353" s="184"/>
      <c r="J353" s="184"/>
    </row>
    <row r="354" spans="9:10">
      <c r="I354" s="184"/>
      <c r="J354" s="184"/>
    </row>
    <row r="355" spans="9:10">
      <c r="I355" s="184"/>
      <c r="J355" s="184"/>
    </row>
    <row r="356" spans="9:10">
      <c r="I356" s="184"/>
      <c r="J356" s="184"/>
    </row>
    <row r="357" spans="9:10">
      <c r="I357" s="184"/>
      <c r="J357" s="184"/>
    </row>
    <row r="358" spans="9:10">
      <c r="I358" s="184"/>
      <c r="J358" s="184"/>
    </row>
    <row r="359" spans="9:10">
      <c r="I359" s="184"/>
      <c r="J359" s="184"/>
    </row>
    <row r="360" spans="9:10">
      <c r="I360" s="184"/>
      <c r="J360" s="184"/>
    </row>
    <row r="361" spans="9:10">
      <c r="I361" s="184"/>
      <c r="J361" s="184"/>
    </row>
    <row r="362" spans="9:10">
      <c r="I362" s="184"/>
      <c r="J362" s="184"/>
    </row>
    <row r="363" spans="9:10">
      <c r="I363" s="184"/>
      <c r="J363" s="184"/>
    </row>
    <row r="364" spans="9:10">
      <c r="I364" s="184"/>
      <c r="J364" s="184"/>
    </row>
    <row r="365" spans="9:10">
      <c r="I365" s="184"/>
      <c r="J365" s="184"/>
    </row>
    <row r="366" spans="9:10">
      <c r="I366" s="184"/>
      <c r="J366" s="184"/>
    </row>
    <row r="367" spans="9:10">
      <c r="I367" s="184"/>
      <c r="J367" s="184"/>
    </row>
    <row r="368" spans="9:10">
      <c r="I368" s="184"/>
      <c r="J368" s="184"/>
    </row>
    <row r="369" spans="9:10">
      <c r="I369" s="184"/>
      <c r="J369" s="184"/>
    </row>
    <row r="370" spans="9:10">
      <c r="I370" s="184"/>
      <c r="J370" s="184"/>
    </row>
    <row r="371" spans="9:10">
      <c r="I371" s="184"/>
      <c r="J371" s="184"/>
    </row>
    <row r="372" spans="9:10">
      <c r="I372" s="184"/>
      <c r="J372" s="184"/>
    </row>
    <row r="373" spans="9:10">
      <c r="I373" s="184"/>
      <c r="J373" s="184"/>
    </row>
    <row r="374" spans="9:10">
      <c r="I374" s="184"/>
      <c r="J374" s="184"/>
    </row>
    <row r="375" spans="9:10">
      <c r="I375" s="184"/>
      <c r="J375" s="184"/>
    </row>
    <row r="376" spans="9:10">
      <c r="I376" s="184"/>
      <c r="J376" s="184"/>
    </row>
    <row r="377" spans="9:10">
      <c r="I377" s="184"/>
      <c r="J377" s="184"/>
    </row>
    <row r="378" spans="9:10">
      <c r="I378" s="184"/>
      <c r="J378" s="184"/>
    </row>
    <row r="379" spans="9:10">
      <c r="I379" s="184"/>
      <c r="J379" s="184"/>
    </row>
    <row r="380" spans="9:10">
      <c r="I380" s="184"/>
      <c r="J380" s="184"/>
    </row>
    <row r="381" spans="9:10">
      <c r="I381" s="184"/>
      <c r="J381" s="184"/>
    </row>
    <row r="382" spans="9:10">
      <c r="I382" s="184"/>
      <c r="J382" s="184"/>
    </row>
    <row r="383" spans="9:10">
      <c r="I383" s="184"/>
      <c r="J383" s="184"/>
    </row>
    <row r="384" spans="9:10">
      <c r="I384" s="184"/>
      <c r="J384" s="184"/>
    </row>
    <row r="385" spans="9:10">
      <c r="I385" s="184"/>
      <c r="J385" s="184"/>
    </row>
    <row r="386" spans="9:10">
      <c r="I386" s="184"/>
      <c r="J386" s="184"/>
    </row>
    <row r="387" spans="9:10">
      <c r="I387" s="184"/>
      <c r="J387" s="184"/>
    </row>
    <row r="388" spans="9:10">
      <c r="I388" s="184"/>
      <c r="J388" s="184"/>
    </row>
    <row r="389" spans="9:10">
      <c r="I389" s="184"/>
      <c r="J389" s="184"/>
    </row>
    <row r="390" spans="9:10">
      <c r="I390" s="184"/>
      <c r="J390" s="184"/>
    </row>
    <row r="391" spans="9:10">
      <c r="I391" s="184"/>
      <c r="J391" s="184"/>
    </row>
    <row r="392" spans="9:10">
      <c r="I392" s="184"/>
      <c r="J392" s="184"/>
    </row>
    <row r="393" spans="9:10">
      <c r="I393" s="184"/>
      <c r="J393" s="184"/>
    </row>
    <row r="394" spans="9:10">
      <c r="I394" s="184"/>
      <c r="J394" s="184"/>
    </row>
    <row r="395" spans="9:10">
      <c r="I395" s="184"/>
      <c r="J395" s="184"/>
    </row>
    <row r="396" spans="9:10">
      <c r="I396" s="184"/>
      <c r="J396" s="184"/>
    </row>
    <row r="397" spans="9:10">
      <c r="I397" s="184"/>
      <c r="J397" s="184"/>
    </row>
    <row r="398" spans="9:10">
      <c r="I398" s="184"/>
      <c r="J398" s="184"/>
    </row>
    <row r="399" spans="9:10">
      <c r="I399" s="184"/>
      <c r="J399" s="184"/>
    </row>
    <row r="400" spans="9:10">
      <c r="I400" s="184"/>
      <c r="J400" s="184"/>
    </row>
    <row r="401" spans="9:10">
      <c r="I401" s="184"/>
      <c r="J401" s="184"/>
    </row>
    <row r="402" spans="9:10">
      <c r="I402" s="184"/>
      <c r="J402" s="184"/>
    </row>
    <row r="403" spans="9:10">
      <c r="I403" s="184"/>
      <c r="J403" s="184"/>
    </row>
    <row r="404" spans="9:10">
      <c r="I404" s="184"/>
      <c r="J404" s="184"/>
    </row>
    <row r="405" spans="9:10">
      <c r="I405" s="184"/>
      <c r="J405" s="184"/>
    </row>
    <row r="406" spans="9:10">
      <c r="I406" s="184"/>
      <c r="J406" s="184"/>
    </row>
    <row r="407" spans="9:10">
      <c r="I407" s="184"/>
      <c r="J407" s="184"/>
    </row>
    <row r="408" spans="9:10">
      <c r="I408" s="184"/>
      <c r="J408" s="184"/>
    </row>
    <row r="409" spans="9:10">
      <c r="I409" s="184"/>
      <c r="J409" s="184"/>
    </row>
    <row r="410" spans="9:10">
      <c r="I410" s="184"/>
      <c r="J410" s="184"/>
    </row>
    <row r="411" spans="9:10">
      <c r="I411" s="184"/>
      <c r="J411" s="184"/>
    </row>
    <row r="412" spans="9:10">
      <c r="I412" s="184"/>
      <c r="J412" s="184"/>
    </row>
    <row r="413" spans="9:10">
      <c r="I413" s="184"/>
      <c r="J413" s="184"/>
    </row>
    <row r="414" spans="9:10">
      <c r="I414" s="184"/>
      <c r="J414" s="184"/>
    </row>
    <row r="415" spans="9:10">
      <c r="I415" s="184"/>
      <c r="J415" s="184"/>
    </row>
    <row r="416" spans="9:10">
      <c r="I416" s="184"/>
      <c r="J416" s="184"/>
    </row>
    <row r="417" spans="9:10">
      <c r="I417" s="184"/>
      <c r="J417" s="184"/>
    </row>
    <row r="418" spans="9:10">
      <c r="I418" s="184"/>
      <c r="J418" s="184"/>
    </row>
    <row r="419" spans="9:10">
      <c r="I419" s="184"/>
      <c r="J419" s="184"/>
    </row>
    <row r="420" spans="9:10">
      <c r="I420" s="184"/>
      <c r="J420" s="184"/>
    </row>
    <row r="421" spans="9:10">
      <c r="I421" s="184"/>
      <c r="J421" s="184"/>
    </row>
    <row r="422" spans="9:10">
      <c r="I422" s="184"/>
      <c r="J422" s="184"/>
    </row>
    <row r="423" spans="9:10">
      <c r="I423" s="184"/>
      <c r="J423" s="184"/>
    </row>
    <row r="424" spans="9:10">
      <c r="I424" s="184"/>
      <c r="J424" s="184"/>
    </row>
    <row r="425" spans="9:10">
      <c r="I425" s="184"/>
      <c r="J425" s="184"/>
    </row>
    <row r="426" spans="9:10">
      <c r="I426" s="184"/>
      <c r="J426" s="184"/>
    </row>
    <row r="427" spans="9:10">
      <c r="I427" s="184"/>
      <c r="J427" s="184"/>
    </row>
    <row r="428" spans="9:10">
      <c r="I428" s="184"/>
      <c r="J428" s="184"/>
    </row>
    <row r="429" spans="9:10">
      <c r="I429" s="184"/>
      <c r="J429" s="184"/>
    </row>
    <row r="430" spans="9:10">
      <c r="I430" s="184"/>
      <c r="J430" s="184"/>
    </row>
    <row r="431" spans="9:10">
      <c r="I431" s="184"/>
      <c r="J431" s="184"/>
    </row>
    <row r="432" spans="9:10">
      <c r="I432" s="184"/>
      <c r="J432" s="184"/>
    </row>
    <row r="433" spans="9:10">
      <c r="I433" s="184"/>
      <c r="J433" s="184"/>
    </row>
    <row r="434" spans="9:10">
      <c r="I434" s="184"/>
      <c r="J434" s="184"/>
    </row>
    <row r="435" spans="9:10">
      <c r="I435" s="184"/>
      <c r="J435" s="184"/>
    </row>
    <row r="436" spans="9:10">
      <c r="I436" s="184"/>
      <c r="J436" s="184"/>
    </row>
    <row r="437" spans="9:10">
      <c r="I437" s="184"/>
      <c r="J437" s="184"/>
    </row>
    <row r="438" spans="9:10">
      <c r="I438" s="184"/>
      <c r="J438" s="184"/>
    </row>
    <row r="439" spans="9:10">
      <c r="I439" s="184"/>
      <c r="J439" s="184"/>
    </row>
    <row r="440" spans="9:10">
      <c r="I440" s="184"/>
      <c r="J440" s="184"/>
    </row>
    <row r="441" spans="9:10">
      <c r="I441" s="184"/>
      <c r="J441" s="184"/>
    </row>
    <row r="442" spans="9:10">
      <c r="I442" s="184"/>
      <c r="J442" s="184"/>
    </row>
    <row r="443" spans="9:10">
      <c r="I443" s="184"/>
      <c r="J443" s="184"/>
    </row>
    <row r="444" spans="9:10">
      <c r="I444" s="184"/>
      <c r="J444" s="184"/>
    </row>
    <row r="445" spans="9:10">
      <c r="I445" s="184"/>
      <c r="J445" s="184"/>
    </row>
    <row r="446" spans="9:10">
      <c r="I446" s="184"/>
      <c r="J446" s="184"/>
    </row>
    <row r="447" spans="9:10">
      <c r="I447" s="184"/>
      <c r="J447" s="184"/>
    </row>
    <row r="448" spans="9:10">
      <c r="I448" s="184"/>
      <c r="J448" s="184"/>
    </row>
    <row r="449" spans="9:10">
      <c r="I449" s="184"/>
      <c r="J449" s="184"/>
    </row>
    <row r="450" spans="9:10">
      <c r="I450" s="184"/>
      <c r="J450" s="184"/>
    </row>
    <row r="451" spans="9:10">
      <c r="I451" s="184"/>
      <c r="J451" s="184"/>
    </row>
    <row r="452" spans="9:10">
      <c r="I452" s="184"/>
      <c r="J452" s="184"/>
    </row>
    <row r="453" spans="9:10">
      <c r="I453" s="184"/>
      <c r="J453" s="184"/>
    </row>
    <row r="454" spans="9:10">
      <c r="I454" s="184"/>
      <c r="J454" s="184"/>
    </row>
    <row r="455" spans="9:10">
      <c r="I455" s="184"/>
      <c r="J455" s="184"/>
    </row>
    <row r="456" spans="9:10">
      <c r="I456" s="184"/>
      <c r="J456" s="184"/>
    </row>
    <row r="457" spans="9:10">
      <c r="I457" s="184"/>
      <c r="J457" s="184"/>
    </row>
    <row r="458" spans="9:10">
      <c r="I458" s="184"/>
      <c r="J458" s="184"/>
    </row>
    <row r="459" spans="9:10">
      <c r="I459" s="184"/>
      <c r="J459" s="184"/>
    </row>
    <row r="460" spans="9:10">
      <c r="I460" s="184"/>
      <c r="J460" s="184"/>
    </row>
    <row r="461" spans="9:10">
      <c r="I461" s="184"/>
      <c r="J461" s="184"/>
    </row>
    <row r="462" spans="9:10">
      <c r="I462" s="184"/>
      <c r="J462" s="184"/>
    </row>
    <row r="463" spans="9:10">
      <c r="I463" s="184"/>
      <c r="J463" s="184"/>
    </row>
    <row r="464" spans="9:10">
      <c r="I464" s="184"/>
      <c r="J464" s="184"/>
    </row>
    <row r="465" spans="9:10">
      <c r="I465" s="184"/>
      <c r="J465" s="184"/>
    </row>
    <row r="466" spans="9:10">
      <c r="I466" s="184"/>
      <c r="J466" s="184"/>
    </row>
    <row r="467" spans="9:10">
      <c r="I467" s="184"/>
      <c r="J467" s="184"/>
    </row>
    <row r="468" spans="9:10">
      <c r="I468" s="184"/>
      <c r="J468" s="184"/>
    </row>
    <row r="469" spans="9:10">
      <c r="I469" s="184"/>
      <c r="J469" s="184"/>
    </row>
    <row r="470" spans="9:10">
      <c r="I470" s="184"/>
      <c r="J470" s="184"/>
    </row>
    <row r="471" spans="9:10">
      <c r="I471" s="184"/>
      <c r="J471" s="184"/>
    </row>
    <row r="472" spans="9:10">
      <c r="I472" s="184"/>
      <c r="J472" s="184"/>
    </row>
    <row r="473" spans="9:10">
      <c r="I473" s="184"/>
      <c r="J473" s="184"/>
    </row>
    <row r="474" spans="9:10">
      <c r="I474" s="184"/>
      <c r="J474" s="184"/>
    </row>
    <row r="475" spans="9:10">
      <c r="I475" s="184"/>
      <c r="J475" s="184"/>
    </row>
    <row r="476" spans="9:10">
      <c r="I476" s="184"/>
      <c r="J476" s="184"/>
    </row>
    <row r="477" spans="9:10">
      <c r="I477" s="184"/>
      <c r="J477" s="184"/>
    </row>
    <row r="478" spans="9:10">
      <c r="I478" s="184"/>
      <c r="J478" s="184"/>
    </row>
    <row r="479" spans="9:10">
      <c r="I479" s="184"/>
      <c r="J479" s="184"/>
    </row>
    <row r="480" spans="9:10">
      <c r="I480" s="184"/>
      <c r="J480" s="184"/>
    </row>
    <row r="481" spans="9:10">
      <c r="I481" s="184"/>
      <c r="J481" s="184"/>
    </row>
    <row r="482" spans="9:10">
      <c r="I482" s="184"/>
      <c r="J482" s="184"/>
    </row>
    <row r="483" spans="9:10">
      <c r="I483" s="184"/>
      <c r="J483" s="184"/>
    </row>
    <row r="484" spans="9:10">
      <c r="I484" s="184"/>
      <c r="J484" s="184"/>
    </row>
    <row r="485" spans="9:10">
      <c r="I485" s="184"/>
      <c r="J485" s="184"/>
    </row>
    <row r="486" spans="9:10">
      <c r="I486" s="184"/>
      <c r="J486" s="184"/>
    </row>
    <row r="487" spans="9:10">
      <c r="I487" s="184"/>
      <c r="J487" s="184"/>
    </row>
    <row r="488" spans="9:10">
      <c r="I488" s="184"/>
      <c r="J488" s="184"/>
    </row>
    <row r="489" spans="9:10">
      <c r="I489" s="184"/>
      <c r="J489" s="184"/>
    </row>
    <row r="490" spans="9:10">
      <c r="I490" s="184"/>
      <c r="J490" s="184"/>
    </row>
    <row r="491" spans="9:10">
      <c r="I491" s="184"/>
      <c r="J491" s="184"/>
    </row>
    <row r="492" spans="9:10">
      <c r="I492" s="184"/>
      <c r="J492" s="184"/>
    </row>
    <row r="493" spans="9:10">
      <c r="I493" s="184"/>
      <c r="J493" s="184"/>
    </row>
    <row r="494" spans="9:10">
      <c r="I494" s="184"/>
      <c r="J494" s="184"/>
    </row>
    <row r="495" spans="9:10">
      <c r="I495" s="184"/>
      <c r="J495" s="184"/>
    </row>
    <row r="496" spans="9:10">
      <c r="I496" s="184"/>
      <c r="J496" s="184"/>
    </row>
    <row r="497" spans="9:10">
      <c r="I497" s="184"/>
      <c r="J497" s="184"/>
    </row>
    <row r="498" spans="9:10">
      <c r="I498" s="184"/>
      <c r="J498" s="184"/>
    </row>
    <row r="499" spans="9:10">
      <c r="I499" s="184"/>
      <c r="J499" s="184"/>
    </row>
    <row r="500" spans="9:10">
      <c r="I500" s="184"/>
      <c r="J500" s="184"/>
    </row>
    <row r="501" spans="9:10">
      <c r="I501" s="184"/>
      <c r="J501" s="184"/>
    </row>
    <row r="502" spans="9:10">
      <c r="I502" s="184"/>
      <c r="J502" s="184"/>
    </row>
    <row r="503" spans="9:10">
      <c r="I503" s="184"/>
      <c r="J503" s="184"/>
    </row>
    <row r="504" spans="9:10">
      <c r="I504" s="184"/>
      <c r="J504" s="184"/>
    </row>
    <row r="505" spans="9:10">
      <c r="I505" s="184"/>
      <c r="J505" s="184"/>
    </row>
    <row r="506" spans="9:10">
      <c r="I506" s="184"/>
      <c r="J506" s="184"/>
    </row>
    <row r="507" spans="9:10">
      <c r="I507" s="184"/>
      <c r="J507" s="184"/>
    </row>
    <row r="508" spans="9:10">
      <c r="I508" s="184"/>
      <c r="J508" s="184"/>
    </row>
    <row r="509" spans="9:10">
      <c r="I509" s="184"/>
      <c r="J509" s="184"/>
    </row>
    <row r="510" spans="9:10">
      <c r="I510" s="184"/>
      <c r="J510" s="184"/>
    </row>
    <row r="511" spans="9:10">
      <c r="I511" s="184"/>
      <c r="J511" s="184"/>
    </row>
    <row r="512" spans="9:10">
      <c r="I512" s="184"/>
      <c r="J512" s="184"/>
    </row>
    <row r="513" spans="9:10">
      <c r="I513" s="184"/>
      <c r="J513" s="184"/>
    </row>
    <row r="514" spans="9:10">
      <c r="I514" s="184"/>
      <c r="J514" s="184"/>
    </row>
    <row r="515" spans="9:10">
      <c r="I515" s="184"/>
      <c r="J515" s="184"/>
    </row>
    <row r="516" spans="9:10">
      <c r="I516" s="184"/>
      <c r="J516" s="184"/>
    </row>
    <row r="517" spans="9:10">
      <c r="I517" s="184"/>
      <c r="J517" s="184"/>
    </row>
    <row r="518" spans="9:10">
      <c r="I518" s="184"/>
      <c r="J518" s="184"/>
    </row>
    <row r="519" spans="9:10">
      <c r="I519" s="184"/>
      <c r="J519" s="184"/>
    </row>
    <row r="520" spans="9:10">
      <c r="I520" s="184"/>
      <c r="J520" s="184"/>
    </row>
    <row r="521" spans="9:10">
      <c r="I521" s="184"/>
      <c r="J521" s="184"/>
    </row>
    <row r="522" spans="9:10">
      <c r="I522" s="184"/>
      <c r="J522" s="184"/>
    </row>
    <row r="523" spans="9:10">
      <c r="I523" s="184"/>
      <c r="J523" s="184"/>
    </row>
    <row r="524" spans="9:10">
      <c r="I524" s="184"/>
      <c r="J524" s="184"/>
    </row>
    <row r="525" spans="9:10">
      <c r="I525" s="184"/>
      <c r="J525" s="184"/>
    </row>
    <row r="526" spans="9:10">
      <c r="I526" s="184"/>
      <c r="J526" s="184"/>
    </row>
    <row r="527" spans="9:10">
      <c r="I527" s="184"/>
      <c r="J527" s="184"/>
    </row>
    <row r="528" spans="9:10">
      <c r="I528" s="184"/>
      <c r="J528" s="184"/>
    </row>
    <row r="529" spans="9:10">
      <c r="I529" s="184"/>
      <c r="J529" s="184"/>
    </row>
    <row r="530" spans="9:10">
      <c r="I530" s="184"/>
      <c r="J530" s="184"/>
    </row>
  </sheetData>
  <mergeCells count="1">
    <mergeCell ref="K3:P3"/>
  </mergeCells>
  <phoneticPr fontId="0" type="noConversion"/>
  <pageMargins left="0.5" right="0.5" top="1" bottom="1" header="0.5" footer="0.5"/>
  <pageSetup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N72"/>
  <sheetViews>
    <sheetView topLeftCell="A25" workbookViewId="0">
      <selection activeCell="C42" sqref="C42"/>
    </sheetView>
  </sheetViews>
  <sheetFormatPr defaultColWidth="8.8984375" defaultRowHeight="11.5"/>
  <cols>
    <col min="1" max="1" width="10.3984375" customWidth="1"/>
    <col min="2" max="7" width="8.8984375" customWidth="1"/>
    <col min="8" max="8" width="11.3984375" customWidth="1"/>
    <col min="9" max="9" width="11.09765625" customWidth="1"/>
    <col min="10" max="10" width="8.8984375" customWidth="1"/>
    <col min="11" max="12" width="13.8984375" customWidth="1"/>
  </cols>
  <sheetData>
    <row r="1" spans="1:14" ht="15.5">
      <c r="A1" s="59" t="s">
        <v>1136</v>
      </c>
      <c r="B1" s="60"/>
      <c r="C1" s="60"/>
      <c r="D1" s="60"/>
      <c r="E1" s="60"/>
      <c r="F1" s="60"/>
      <c r="H1" s="60"/>
      <c r="I1" s="64" t="s">
        <v>1137</v>
      </c>
      <c r="J1" s="60"/>
      <c r="K1" s="60"/>
      <c r="L1" s="60"/>
      <c r="M1" s="60"/>
      <c r="N1" s="60"/>
    </row>
    <row r="2" spans="1:14">
      <c r="A2" s="61"/>
      <c r="B2" s="61"/>
      <c r="C2" s="61"/>
      <c r="D2" s="61"/>
      <c r="E2" s="61"/>
      <c r="F2" s="61"/>
      <c r="G2" s="62"/>
      <c r="H2" s="62"/>
      <c r="I2" s="62"/>
      <c r="J2" s="62"/>
      <c r="K2" s="61"/>
      <c r="L2" s="61"/>
      <c r="M2" s="61"/>
      <c r="N2" s="61"/>
    </row>
    <row r="3" spans="1:14" ht="13">
      <c r="A3" s="63" t="s">
        <v>1073</v>
      </c>
      <c r="B3" s="61"/>
      <c r="C3" s="61"/>
      <c r="D3" s="61"/>
      <c r="F3" s="61"/>
      <c r="G3" s="62"/>
      <c r="H3" s="62"/>
      <c r="I3" s="62"/>
      <c r="J3" s="62"/>
      <c r="K3" s="61"/>
      <c r="L3" s="61"/>
      <c r="M3" s="61"/>
      <c r="N3" s="61"/>
    </row>
    <row r="4" spans="1:14" ht="12.5">
      <c r="A4" s="65" t="s">
        <v>984</v>
      </c>
      <c r="B4" s="61"/>
      <c r="C4" s="61"/>
      <c r="D4" s="61"/>
      <c r="E4" s="61"/>
      <c r="F4" s="61"/>
      <c r="G4" s="62"/>
      <c r="H4" s="62"/>
      <c r="I4" s="61"/>
      <c r="J4" s="62"/>
      <c r="K4" s="61"/>
      <c r="L4" s="61"/>
      <c r="M4" s="61"/>
      <c r="N4" s="61"/>
    </row>
    <row r="5" spans="1:14" ht="13.5">
      <c r="A5" t="s">
        <v>991</v>
      </c>
      <c r="D5" s="97" t="s">
        <v>983</v>
      </c>
    </row>
    <row r="6" spans="1:14" ht="13.5">
      <c r="A6" s="61" t="s">
        <v>1189</v>
      </c>
      <c r="B6" s="61"/>
      <c r="C6" s="61"/>
      <c r="D6" s="61"/>
      <c r="E6" s="61"/>
      <c r="F6" s="61"/>
      <c r="G6" s="61"/>
      <c r="H6" s="61"/>
      <c r="I6" s="61"/>
      <c r="J6" s="61"/>
      <c r="K6" s="61"/>
      <c r="L6" s="61"/>
      <c r="M6" s="61"/>
      <c r="N6" s="61"/>
    </row>
    <row r="7" spans="1:14">
      <c r="A7" t="s">
        <v>992</v>
      </c>
      <c r="C7" s="1"/>
      <c r="D7" s="107" t="s">
        <v>879</v>
      </c>
      <c r="E7" s="97">
        <v>0.99399999999999999</v>
      </c>
    </row>
    <row r="8" spans="1:14">
      <c r="A8" t="s">
        <v>997</v>
      </c>
    </row>
    <row r="10" spans="1:14">
      <c r="A10" t="s">
        <v>1190</v>
      </c>
    </row>
    <row r="11" spans="1:14">
      <c r="A11" t="s">
        <v>98</v>
      </c>
    </row>
    <row r="12" spans="1:14">
      <c r="A12" s="107" t="s">
        <v>100</v>
      </c>
      <c r="B12" s="1" t="s">
        <v>101</v>
      </c>
    </row>
    <row r="13" spans="1:14" s="1" customFormat="1">
      <c r="A13" s="107" t="s">
        <v>104</v>
      </c>
      <c r="B13" s="97">
        <v>3.6950899999999999E-5</v>
      </c>
      <c r="C13" s="107" t="s">
        <v>102</v>
      </c>
      <c r="D13" s="1">
        <v>11.628251000000001</v>
      </c>
      <c r="E13" s="1" t="s">
        <v>103</v>
      </c>
    </row>
    <row r="14" spans="1:14">
      <c r="A14" s="107" t="s">
        <v>105</v>
      </c>
      <c r="B14" s="97">
        <v>-1.1878</v>
      </c>
      <c r="C14" s="97">
        <v>-8.4931999999999999</v>
      </c>
      <c r="D14" s="97" t="s">
        <v>106</v>
      </c>
    </row>
    <row r="15" spans="1:14" s="70" customFormat="1" ht="13">
      <c r="A15" s="104"/>
      <c r="J15" s="71"/>
    </row>
    <row r="16" spans="1:14" s="61" customFormat="1" ht="13">
      <c r="A16" s="67"/>
      <c r="H16" s="62"/>
      <c r="I16" s="62"/>
    </row>
    <row r="17" spans="1:13" s="61" customFormat="1" ht="13">
      <c r="A17" s="74" t="s">
        <v>1090</v>
      </c>
      <c r="E17" s="61" t="s">
        <v>1138</v>
      </c>
      <c r="H17" s="62"/>
      <c r="I17" s="62"/>
    </row>
    <row r="18" spans="1:13" s="61" customFormat="1" ht="13">
      <c r="A18" s="67"/>
      <c r="H18" s="62"/>
      <c r="I18" s="62"/>
    </row>
    <row r="19" spans="1:13" s="96" customFormat="1" ht="12.5">
      <c r="A19" s="98" t="s">
        <v>990</v>
      </c>
      <c r="B19" s="99"/>
      <c r="C19" s="61"/>
      <c r="D19" s="99"/>
      <c r="E19" s="102"/>
      <c r="H19" s="99" t="s">
        <v>985</v>
      </c>
      <c r="I19" s="99"/>
    </row>
    <row r="20" spans="1:13" s="100" customFormat="1" ht="13">
      <c r="A20" s="100" t="s">
        <v>866</v>
      </c>
      <c r="B20" s="103" t="s">
        <v>993</v>
      </c>
      <c r="C20" s="100" t="s">
        <v>994</v>
      </c>
      <c r="D20" s="103" t="s">
        <v>1124</v>
      </c>
      <c r="E20" s="103" t="s">
        <v>986</v>
      </c>
      <c r="F20" s="103" t="s">
        <v>883</v>
      </c>
      <c r="H20" s="101" t="s">
        <v>995</v>
      </c>
      <c r="I20" s="106" t="s">
        <v>996</v>
      </c>
      <c r="J20" s="106" t="s">
        <v>998</v>
      </c>
      <c r="K20" s="106" t="s">
        <v>999</v>
      </c>
      <c r="L20" s="103" t="s">
        <v>987</v>
      </c>
      <c r="M20" s="103" t="s">
        <v>988</v>
      </c>
    </row>
    <row r="21" spans="1:13" s="100" customFormat="1" ht="13">
      <c r="A21" s="61">
        <v>1</v>
      </c>
      <c r="B21" s="61">
        <v>1.39</v>
      </c>
      <c r="C21" s="61">
        <v>1.84</v>
      </c>
      <c r="D21" s="289">
        <v>0.79200000000000004</v>
      </c>
      <c r="E21" s="289">
        <v>321.33999999999997</v>
      </c>
      <c r="F21" s="61">
        <v>-12.99</v>
      </c>
      <c r="H21" s="65">
        <v>1</v>
      </c>
      <c r="I21" s="289">
        <v>-0.03</v>
      </c>
      <c r="J21" s="289">
        <v>5.0000000000000001E-4</v>
      </c>
      <c r="K21" s="289">
        <f>D$25+J21</f>
        <v>0.79949999999999999</v>
      </c>
      <c r="L21" s="100">
        <f>0.0000369509*EXP(11.628251*(B$25+I21))</f>
        <v>5.2325329179431375</v>
      </c>
      <c r="M21" s="100">
        <f>-1.1878-8.4932*(B$25+I21)</f>
        <v>-9.8508639999999996</v>
      </c>
    </row>
    <row r="22" spans="1:13" s="61" customFormat="1" ht="13">
      <c r="A22" s="61">
        <v>2</v>
      </c>
      <c r="B22" s="61">
        <v>1.28</v>
      </c>
      <c r="C22" s="61">
        <v>1.73</v>
      </c>
      <c r="D22" s="289">
        <v>0.79400000000000004</v>
      </c>
      <c r="E22" s="289">
        <v>88.025000000000006</v>
      </c>
      <c r="F22" s="61">
        <v>-12.061</v>
      </c>
      <c r="H22" s="61">
        <v>2</v>
      </c>
      <c r="I22" s="61">
        <v>-0.1</v>
      </c>
      <c r="J22" s="295">
        <v>1E-3</v>
      </c>
      <c r="K22" s="289">
        <f>D$25+J22</f>
        <v>0.8</v>
      </c>
      <c r="L22" s="100">
        <f>0.0000369509*EXP(11.628251*(B$25+I22))</f>
        <v>2.3184941377345054</v>
      </c>
      <c r="M22" s="100">
        <f>-1.1878-8.4932*(B$25+I22)</f>
        <v>-9.2563399999999998</v>
      </c>
    </row>
    <row r="23" spans="1:13" s="61" customFormat="1" ht="13">
      <c r="A23" s="61">
        <v>3</v>
      </c>
      <c r="B23" s="61">
        <v>1.19</v>
      </c>
      <c r="C23" s="61">
        <v>1.64</v>
      </c>
      <c r="D23" s="289">
        <v>0.79600000000000004</v>
      </c>
      <c r="E23" s="289">
        <v>32.189</v>
      </c>
      <c r="F23" s="61">
        <v>-11.297000000000001</v>
      </c>
      <c r="H23" s="61">
        <v>3</v>
      </c>
      <c r="I23" s="61">
        <v>0.02</v>
      </c>
      <c r="J23" s="295">
        <v>0</v>
      </c>
      <c r="K23" s="289">
        <f>D$25+J23</f>
        <v>0.79900000000000004</v>
      </c>
      <c r="L23" s="100">
        <f>0.0000369509*EXP(11.628251*(B$25+I23))</f>
        <v>9.3587152024545901</v>
      </c>
      <c r="M23" s="100">
        <f>-1.1878-8.4932*(B$25+I23)</f>
        <v>-10.275523999999999</v>
      </c>
    </row>
    <row r="24" spans="1:13" s="295" customFormat="1">
      <c r="A24" s="61">
        <v>4</v>
      </c>
      <c r="B24" s="61">
        <v>1.1299999999999999</v>
      </c>
      <c r="C24" s="61">
        <v>1.58</v>
      </c>
      <c r="D24" s="289">
        <v>0.79600000000000004</v>
      </c>
      <c r="E24" s="289">
        <v>16.945</v>
      </c>
      <c r="F24" s="61">
        <v>-10.79</v>
      </c>
      <c r="I24" s="295" t="s">
        <v>1026</v>
      </c>
      <c r="K24" s="296" t="s">
        <v>1026</v>
      </c>
      <c r="L24" s="289"/>
      <c r="M24" s="289"/>
    </row>
    <row r="25" spans="1:13" s="61" customFormat="1">
      <c r="A25" s="289">
        <v>5</v>
      </c>
      <c r="B25" s="289">
        <v>1.05</v>
      </c>
      <c r="C25" s="289">
        <v>1.5</v>
      </c>
      <c r="D25" s="289">
        <v>0.79900000000000004</v>
      </c>
      <c r="E25" s="289">
        <v>7.47</v>
      </c>
      <c r="F25" s="289">
        <v>-10.1</v>
      </c>
      <c r="K25" s="61" t="s">
        <v>1026</v>
      </c>
    </row>
    <row r="26" spans="1:13" s="70" customFormat="1" ht="13">
      <c r="D26" s="105"/>
      <c r="E26" s="105"/>
    </row>
    <row r="27" spans="1:13" s="75" customFormat="1" ht="13">
      <c r="D27" s="86"/>
      <c r="E27" s="86"/>
    </row>
    <row r="28" spans="1:13" s="75" customFormat="1" ht="13">
      <c r="A28" s="94" t="s">
        <v>1085</v>
      </c>
      <c r="B28" s="49"/>
      <c r="D28" s="86"/>
      <c r="E28" s="86"/>
    </row>
    <row r="29" spans="1:13" s="75" customFormat="1" ht="12.5">
      <c r="A29" s="299" t="s">
        <v>1028</v>
      </c>
      <c r="B29" s="300" t="s">
        <v>1001</v>
      </c>
      <c r="C29" s="300" t="s">
        <v>1000</v>
      </c>
      <c r="D29" s="301" t="s">
        <v>110</v>
      </c>
      <c r="E29" s="301" t="s">
        <v>109</v>
      </c>
      <c r="F29" s="300" t="s">
        <v>111</v>
      </c>
    </row>
    <row r="30" spans="1:13" s="75" customFormat="1" ht="12.5">
      <c r="A30" s="267">
        <v>0.6</v>
      </c>
      <c r="B30" s="302">
        <f t="shared" ref="B30:F40" si="0">IF(B$41&lt;4,$E$7-(LOOKUP(B$41,$A$21:$A$25,$D$21:$D$25))*EXP(-LOOKUP(B$41,$A$21:$A$25,$E$21:$E$25)*POWER($A30,LOOKUP(B$41,$A$21:$A$25,$F$21:$F$25))),$E$7-(LOOKUP(B$41,$A$21:$A$25,$D$21:$D$25))*EXP(-B$43*POWER($A30,B$44)))</f>
        <v>0.99399999999999999</v>
      </c>
      <c r="C30" s="302">
        <f t="shared" si="0"/>
        <v>0.99399999999999999</v>
      </c>
      <c r="D30" s="302">
        <f t="shared" si="0"/>
        <v>0.99399999999999999</v>
      </c>
      <c r="E30" s="302">
        <f t="shared" si="0"/>
        <v>0.99399999999999999</v>
      </c>
      <c r="F30" s="302">
        <f t="shared" si="0"/>
        <v>0.99399999999999999</v>
      </c>
    </row>
    <row r="31" spans="1:13" s="75" customFormat="1" ht="12.5">
      <c r="A31" s="267">
        <v>0.7</v>
      </c>
      <c r="B31" s="302">
        <f t="shared" si="0"/>
        <v>0.99399999999999999</v>
      </c>
      <c r="C31" s="302">
        <f t="shared" si="0"/>
        <v>0.99399999999999999</v>
      </c>
      <c r="D31" s="302">
        <f t="shared" si="0"/>
        <v>0.99399999999999999</v>
      </c>
      <c r="E31" s="302">
        <f t="shared" si="0"/>
        <v>0.99399999999999999</v>
      </c>
      <c r="F31" s="302">
        <f t="shared" si="0"/>
        <v>0.99399999999999999</v>
      </c>
    </row>
    <row r="32" spans="1:13" s="75" customFormat="1" ht="12.5">
      <c r="A32" s="267">
        <v>0.8</v>
      </c>
      <c r="B32" s="302">
        <f t="shared" si="0"/>
        <v>0.99399999999999999</v>
      </c>
      <c r="C32" s="302">
        <f t="shared" si="0"/>
        <v>0.99399999999999999</v>
      </c>
      <c r="D32" s="302">
        <f t="shared" si="0"/>
        <v>0.99399999999999999</v>
      </c>
      <c r="E32" s="302">
        <f t="shared" si="0"/>
        <v>0.9939999909038888</v>
      </c>
      <c r="F32" s="302">
        <f t="shared" si="0"/>
        <v>0.99399999999999999</v>
      </c>
    </row>
    <row r="33" spans="1:6" s="75" customFormat="1" ht="12.5">
      <c r="A33" s="267">
        <v>0.9</v>
      </c>
      <c r="B33" s="302">
        <f t="shared" si="0"/>
        <v>0.99399999999999999</v>
      </c>
      <c r="C33" s="302">
        <f t="shared" si="0"/>
        <v>0.99399999999999999</v>
      </c>
      <c r="D33" s="302">
        <f t="shared" si="0"/>
        <v>0.99399999999920108</v>
      </c>
      <c r="E33" s="302">
        <f t="shared" si="0"/>
        <v>0.99229239552526471</v>
      </c>
      <c r="F33" s="302">
        <f t="shared" si="0"/>
        <v>0.99399969323787474</v>
      </c>
    </row>
    <row r="34" spans="1:6" s="75" customFormat="1" ht="12.5">
      <c r="A34" s="267">
        <v>1</v>
      </c>
      <c r="B34" s="302">
        <f t="shared" si="0"/>
        <v>0.99399999999999999</v>
      </c>
      <c r="C34" s="302">
        <f t="shared" si="0"/>
        <v>0.99399999999999167</v>
      </c>
      <c r="D34" s="302">
        <f t="shared" si="0"/>
        <v>0.9939311175779868</v>
      </c>
      <c r="E34" s="302">
        <f t="shared" si="0"/>
        <v>0.9153610748290083</v>
      </c>
      <c r="F34" s="302">
        <f t="shared" si="0"/>
        <v>0.9897333540455362</v>
      </c>
    </row>
    <row r="35" spans="1:6" s="75" customFormat="1" ht="12.5">
      <c r="A35" s="267">
        <v>1.1000000000000001</v>
      </c>
      <c r="B35" s="302">
        <f t="shared" si="0"/>
        <v>0.99399999999999999</v>
      </c>
      <c r="C35" s="302">
        <f t="shared" si="0"/>
        <v>0.9939862616540287</v>
      </c>
      <c r="D35" s="302">
        <f t="shared" si="0"/>
        <v>0.9702236888585315</v>
      </c>
      <c r="E35" s="302">
        <f t="shared" si="0"/>
        <v>0.68792657295239024</v>
      </c>
      <c r="F35" s="302">
        <f t="shared" si="0"/>
        <v>0.89075415417174153</v>
      </c>
    </row>
    <row r="36" spans="1:6" s="75" customFormat="1" ht="12.5">
      <c r="A36" s="267">
        <v>1.2</v>
      </c>
      <c r="B36" s="302">
        <f t="shared" si="0"/>
        <v>0.99399999999993216</v>
      </c>
      <c r="C36" s="302">
        <f t="shared" si="0"/>
        <v>0.9808595205683448</v>
      </c>
      <c r="D36" s="302">
        <f t="shared" si="0"/>
        <v>0.80420804076541896</v>
      </c>
      <c r="E36" s="302">
        <f>IF(E$41&lt;4,$E$7-(LOOKUP(E$41,$A$21:$A$25,$D$21:$D$25))*EXP(-LOOKUP(E$41,$A$21:$A$25,$E$21:$E$25)*POWER($A36,LOOKUP(E$41,$A$21:$A$25,$F$21:$F$25))),$E$7-(LOOKUP(E$41,$A$21:$A$25,$D$21:$D$25))*EXP(-E$43*POWER($A36,E$44)))</f>
        <v>0.47363080926205459</v>
      </c>
      <c r="F36" s="302">
        <f t="shared" si="0"/>
        <v>0.65871396477925237</v>
      </c>
    </row>
    <row r="37" spans="1:6" s="75" customFormat="1" ht="12.5">
      <c r="A37" s="267">
        <v>1.3</v>
      </c>
      <c r="B37" s="302">
        <f t="shared" si="0"/>
        <v>0.99398099332054612</v>
      </c>
      <c r="C37" s="302">
        <f t="shared" si="0"/>
        <v>0.84286991879872086</v>
      </c>
      <c r="D37" s="302">
        <f t="shared" si="0"/>
        <v>0.56910639062592816</v>
      </c>
      <c r="E37" s="302">
        <f t="shared" si="0"/>
        <v>0.3427143199384457</v>
      </c>
      <c r="F37" s="302">
        <f t="shared" si="0"/>
        <v>0.4555702844369881</v>
      </c>
    </row>
    <row r="38" spans="1:6" s="75" customFormat="1" ht="12.5">
      <c r="A38" s="267">
        <v>1.4</v>
      </c>
      <c r="B38" s="302">
        <f t="shared" si="0"/>
        <v>0.98036883728366797</v>
      </c>
      <c r="C38" s="302">
        <f t="shared" si="0"/>
        <v>0.60626683063868314</v>
      </c>
      <c r="D38" s="302">
        <f t="shared" si="0"/>
        <v>0.39905949630621673</v>
      </c>
      <c r="E38" s="302">
        <f t="shared" si="0"/>
        <v>0.27315918804915673</v>
      </c>
      <c r="F38" s="302">
        <f t="shared" si="0"/>
        <v>0.33339585190636101</v>
      </c>
    </row>
    <row r="39" spans="1:6" s="75" customFormat="1" ht="12.5">
      <c r="A39" s="267">
        <v>1.5</v>
      </c>
      <c r="B39" s="302">
        <f t="shared" si="0"/>
        <v>0.84308241219433799</v>
      </c>
      <c r="C39" s="302">
        <f t="shared" si="0"/>
        <v>0.42168913742411029</v>
      </c>
      <c r="D39" s="302">
        <f t="shared" si="0"/>
        <v>0.30294374703893312</v>
      </c>
      <c r="E39" s="302">
        <f t="shared" si="0"/>
        <v>0.23727099590632084</v>
      </c>
      <c r="F39" s="302">
        <f t="shared" si="0"/>
        <v>0.26842494376745463</v>
      </c>
    </row>
    <row r="40" spans="1:6" s="75" customFormat="1" ht="12.5">
      <c r="A40" s="267">
        <v>1.6</v>
      </c>
      <c r="B40" s="302">
        <f t="shared" si="0"/>
        <v>0.60728739131659715</v>
      </c>
      <c r="C40" s="302">
        <f t="shared" si="0"/>
        <v>0.31510614021599259</v>
      </c>
      <c r="D40" s="302">
        <f t="shared" si="0"/>
        <v>0.25256870746724092</v>
      </c>
      <c r="E40" s="302">
        <f t="shared" si="0"/>
        <v>0.21854346332377406</v>
      </c>
      <c r="F40" s="302">
        <f>IF(F$41&lt;4,$E$7-(LOOKUP(F$41,$A$21:$A$25,$D$21:$D$25))*EXP(-LOOKUP(F$41,$A$21:$A$25,$E$21:$E$25)*POWER($A40,LOOKUP(F$41,$A$21:$A$25,$F$21:$F$25))),$E$7-(LOOKUP(F$41,$A$21:$A$25,$D$21:$D$25))*EXP(-F$43*POWER($A40,F$44)))</f>
        <v>0.23476155980669333</v>
      </c>
    </row>
    <row r="41" spans="1:6" s="75" customFormat="1" ht="13">
      <c r="A41" s="244" t="s">
        <v>71</v>
      </c>
      <c r="B41" s="270">
        <v>1</v>
      </c>
      <c r="C41" s="270">
        <v>3</v>
      </c>
      <c r="D41" s="298">
        <v>5</v>
      </c>
      <c r="E41" s="298">
        <v>5</v>
      </c>
      <c r="F41" s="270">
        <v>5</v>
      </c>
    </row>
    <row r="42" spans="1:6" s="75" customFormat="1" ht="13">
      <c r="A42" s="288" t="s">
        <v>99</v>
      </c>
      <c r="B42" s="270">
        <v>3</v>
      </c>
      <c r="C42" s="270">
        <v>3</v>
      </c>
      <c r="D42" s="298">
        <v>3</v>
      </c>
      <c r="E42" s="298">
        <v>2</v>
      </c>
      <c r="F42" s="270">
        <v>1</v>
      </c>
    </row>
    <row r="43" spans="1:6" s="262" customFormat="1">
      <c r="A43" s="252" t="s">
        <v>108</v>
      </c>
      <c r="B43" s="262">
        <f>$B$13*EXP($D$13*(LOOKUP(B$41,$A$21:$A$25,$B$21:$B$25)+LOOKUP(B$42,$H$21:$H$23,$I$21:$I$23)))</f>
        <v>487.8038392893971</v>
      </c>
      <c r="C43" s="262">
        <f>$B$13*EXP($D$13*(LOOKUP(C$41,$A$21:$A$25,$B$21:$B$25)+LOOKUP(C$42,$H$21:$H$23,$I$21:$I$23)))</f>
        <v>47.668135527193115</v>
      </c>
      <c r="D43" s="262">
        <f>$B$13*EXP($D$13*(LOOKUP(D$41,$A$21:$A$25,$B$21:$B$25)+LOOKUP(D$42,$H$21:$H$23,$I$21:$I$23)))</f>
        <v>9.3587152024545901</v>
      </c>
      <c r="E43" s="262">
        <f>$B$13*EXP($D$13*(LOOKUP(E$41,$A$21:$A$25,$B$21:$B$25)+LOOKUP(E$42,$H$21:$H$23,$I$21:$I$23)))</f>
        <v>2.3184941377345054</v>
      </c>
      <c r="F43" s="262">
        <f>$B$13*EXP($D$13*(LOOKUP(F$41,$A$21:$A$25,$B$21:$B$25)+LOOKUP(F$42,$H$21:$H$23,$I$21:$I$23)))</f>
        <v>5.2325329179431375</v>
      </c>
    </row>
    <row r="44" spans="1:6" s="262" customFormat="1">
      <c r="A44" s="252" t="s">
        <v>107</v>
      </c>
      <c r="B44" s="262">
        <f>$B$14+$C$14*(LOOKUP(B$41,$A$21:$A$25,$B$21:$B$25)+LOOKUP(B$42,$H$21:$H$23,$I$21:$I$23))</f>
        <v>-13.163211999999998</v>
      </c>
      <c r="C44" s="262">
        <f>$B$14+$C$14*(LOOKUP(C$41,$A$21:$A$25,$B$21:$B$25)+LOOKUP(C$42,$H$21:$H$23,$I$21:$I$23))</f>
        <v>-11.464571999999999</v>
      </c>
      <c r="D44" s="262">
        <f>$B$14+$C$14*(LOOKUP(D$41,$A$21:$A$25,$B$21:$B$25)+LOOKUP(D$42,$H$21:$H$23,$I$21:$I$23))</f>
        <v>-10.275523999999999</v>
      </c>
      <c r="E44" s="262">
        <f>$B$14+$C$14*(LOOKUP(E$41,$A$21:$A$25,$B$21:$B$25)+LOOKUP(E$42,$H$21:$H$23,$I$21:$I$23))</f>
        <v>-9.2563399999999998</v>
      </c>
      <c r="F44" s="262">
        <f>$B$14+$C$14*(LOOKUP(F$41,$A$21:$A$25,$B$21:$B$25)+LOOKUP(F$42,$H$21:$H$23,$I$21:$I$23))</f>
        <v>-9.8508639999999996</v>
      </c>
    </row>
    <row r="45" spans="1:6" s="75" customFormat="1">
      <c r="A45" s="76"/>
    </row>
    <row r="46" spans="1:6" s="75" customFormat="1" ht="13">
      <c r="A46" s="49" t="s">
        <v>1154</v>
      </c>
      <c r="D46" s="86"/>
      <c r="E46" s="86"/>
    </row>
    <row r="47" spans="1:6" s="89" customFormat="1" ht="13">
      <c r="D47" s="159"/>
      <c r="E47" s="159"/>
    </row>
    <row r="48" spans="1:6" s="49" customFormat="1"/>
    <row r="49" spans="1:14" s="49" customFormat="1">
      <c r="A49" s="50"/>
      <c r="B49" s="50"/>
      <c r="C49" s="50"/>
      <c r="D49" s="50"/>
      <c r="E49" s="50"/>
      <c r="G49" s="50"/>
      <c r="H49" s="154" t="s">
        <v>1188</v>
      </c>
      <c r="I49" s="154"/>
      <c r="J49" s="154"/>
      <c r="K49" s="154"/>
      <c r="L49" s="154"/>
      <c r="M49" s="154"/>
      <c r="N49" s="154"/>
    </row>
    <row r="50" spans="1:14" s="49" customFormat="1" ht="13">
      <c r="A50" s="303" t="s">
        <v>902</v>
      </c>
      <c r="B50" s="184"/>
      <c r="C50" s="184"/>
      <c r="D50" s="184"/>
      <c r="E50" s="184"/>
      <c r="F50" s="184"/>
      <c r="G50" s="184"/>
      <c r="H50" s="184"/>
      <c r="J50" s="51" t="s">
        <v>1086</v>
      </c>
    </row>
    <row r="51" spans="1:14" s="49" customFormat="1" ht="13">
      <c r="A51" s="277" t="s">
        <v>989</v>
      </c>
      <c r="B51" s="277" t="s">
        <v>1133</v>
      </c>
      <c r="C51" s="257" t="s">
        <v>1134</v>
      </c>
      <c r="D51" s="257" t="s">
        <v>1135</v>
      </c>
      <c r="E51" s="257" t="s">
        <v>890</v>
      </c>
      <c r="F51" s="257" t="s">
        <v>891</v>
      </c>
      <c r="G51" s="257" t="s">
        <v>892</v>
      </c>
      <c r="H51" s="257" t="s">
        <v>865</v>
      </c>
      <c r="I51" s="162"/>
      <c r="J51" s="307" t="s">
        <v>870</v>
      </c>
      <c r="K51" s="305" t="s">
        <v>900</v>
      </c>
    </row>
    <row r="52" spans="1:14" s="49" customFormat="1" ht="13">
      <c r="A52" s="184">
        <v>1</v>
      </c>
      <c r="B52" s="184" t="s">
        <v>895</v>
      </c>
      <c r="C52" s="304">
        <v>0.79200000000000004</v>
      </c>
      <c r="D52" s="262">
        <v>0</v>
      </c>
      <c r="E52" s="262">
        <v>0.99399999999999999</v>
      </c>
      <c r="F52" s="262">
        <f t="shared" ref="F52:F60" si="1">C52+D52</f>
        <v>0.79200000000000004</v>
      </c>
      <c r="G52" s="304">
        <v>321.33999999999997</v>
      </c>
      <c r="H52" s="262">
        <v>-12.99</v>
      </c>
      <c r="J52" s="308">
        <v>1.2</v>
      </c>
      <c r="K52" s="306">
        <f t="shared" ref="K52:K60" si="2">E52-(F52)*EXP(-G52*POWER(J52,H52))</f>
        <v>0.99399999999993216</v>
      </c>
    </row>
    <row r="53" spans="1:14" s="49" customFormat="1" ht="13">
      <c r="A53" s="184">
        <v>2</v>
      </c>
      <c r="B53" s="184" t="s">
        <v>895</v>
      </c>
      <c r="C53" s="304">
        <v>0.79400000000000004</v>
      </c>
      <c r="D53" s="262">
        <v>0</v>
      </c>
      <c r="E53" s="262">
        <v>0.99399999999999999</v>
      </c>
      <c r="F53" s="262">
        <f t="shared" si="1"/>
        <v>0.79400000000000004</v>
      </c>
      <c r="G53" s="304">
        <v>88.025000000000006</v>
      </c>
      <c r="H53" s="262">
        <v>-12.061</v>
      </c>
      <c r="J53" s="308">
        <v>1.2</v>
      </c>
      <c r="K53" s="306">
        <f t="shared" si="2"/>
        <v>0.99395433007304856</v>
      </c>
    </row>
    <row r="54" spans="1:14" s="49" customFormat="1" ht="13">
      <c r="A54" s="184">
        <v>3</v>
      </c>
      <c r="B54" s="184" t="s">
        <v>895</v>
      </c>
      <c r="C54" s="304">
        <v>0.79600000000000004</v>
      </c>
      <c r="D54" s="262">
        <v>0</v>
      </c>
      <c r="E54" s="262">
        <v>0.99399999999999999</v>
      </c>
      <c r="F54" s="262">
        <f t="shared" si="1"/>
        <v>0.79600000000000004</v>
      </c>
      <c r="G54" s="304">
        <v>32.189</v>
      </c>
      <c r="H54" s="262">
        <v>-11.297000000000001</v>
      </c>
      <c r="J54" s="308">
        <v>1.2</v>
      </c>
      <c r="K54" s="306">
        <f t="shared" si="2"/>
        <v>0.9808595205683448</v>
      </c>
    </row>
    <row r="55" spans="1:14" s="49" customFormat="1" ht="13">
      <c r="A55" s="184">
        <v>4</v>
      </c>
      <c r="B55" s="184">
        <v>1</v>
      </c>
      <c r="C55" s="304">
        <v>0.79600000000000004</v>
      </c>
      <c r="D55" s="304">
        <v>5.0000000000000001E-4</v>
      </c>
      <c r="E55" s="262">
        <v>0.99399999999999999</v>
      </c>
      <c r="F55" s="262">
        <f t="shared" si="1"/>
        <v>0.79649999999999999</v>
      </c>
      <c r="G55" s="304">
        <v>5.2325329179431375</v>
      </c>
      <c r="H55" s="304">
        <v>-9.8508639999999996</v>
      </c>
      <c r="J55" s="308">
        <v>1.2</v>
      </c>
      <c r="K55" s="306">
        <f t="shared" si="2"/>
        <v>0.65976304498958005</v>
      </c>
    </row>
    <row r="56" spans="1:14" s="49" customFormat="1" ht="13">
      <c r="A56" s="184">
        <v>4</v>
      </c>
      <c r="B56" s="184">
        <v>2</v>
      </c>
      <c r="C56" s="304">
        <v>0.79600000000000004</v>
      </c>
      <c r="D56" s="262">
        <v>1E-3</v>
      </c>
      <c r="E56" s="262">
        <v>0.99399999999999999</v>
      </c>
      <c r="F56" s="262">
        <f t="shared" si="1"/>
        <v>0.79700000000000004</v>
      </c>
      <c r="G56" s="304">
        <v>2.3184941377345054</v>
      </c>
      <c r="H56" s="304">
        <v>-9.2563399999999998</v>
      </c>
      <c r="J56" s="308">
        <v>1.2</v>
      </c>
      <c r="K56" s="306">
        <f t="shared" si="2"/>
        <v>0.47493336042785672</v>
      </c>
    </row>
    <row r="57" spans="1:14" s="49" customFormat="1" ht="13">
      <c r="A57" s="184">
        <v>4</v>
      </c>
      <c r="B57" s="184">
        <v>0</v>
      </c>
      <c r="C57" s="304">
        <v>0.79600000000000004</v>
      </c>
      <c r="D57" s="262">
        <v>0</v>
      </c>
      <c r="E57" s="262">
        <v>0.99399999999999999</v>
      </c>
      <c r="F57" s="262">
        <f t="shared" si="1"/>
        <v>0.79600000000000004</v>
      </c>
      <c r="G57" s="304">
        <v>9.3587152024545901</v>
      </c>
      <c r="H57" s="304">
        <v>-10.275523999999999</v>
      </c>
      <c r="J57" s="308">
        <v>1.2</v>
      </c>
      <c r="K57" s="306">
        <f t="shared" si="2"/>
        <v>0.80492065137581159</v>
      </c>
    </row>
    <row r="58" spans="1:14" s="49" customFormat="1" ht="13">
      <c r="A58" s="184">
        <v>5</v>
      </c>
      <c r="B58" s="184">
        <v>1</v>
      </c>
      <c r="C58" s="304">
        <v>0.79900000000000004</v>
      </c>
      <c r="D58" s="304">
        <v>5.0000000000000001E-4</v>
      </c>
      <c r="E58" s="262">
        <v>0.99399999999999999</v>
      </c>
      <c r="F58" s="262">
        <f t="shared" si="1"/>
        <v>0.79949999999999999</v>
      </c>
      <c r="G58" s="304">
        <v>5.2325329179431375</v>
      </c>
      <c r="H58" s="304">
        <v>-9.8508639999999996</v>
      </c>
      <c r="J58" s="308">
        <v>1.2</v>
      </c>
      <c r="K58" s="306">
        <f t="shared" si="2"/>
        <v>0.65850414873718677</v>
      </c>
    </row>
    <row r="59" spans="1:14" s="49" customFormat="1" ht="13">
      <c r="A59" s="184">
        <v>5</v>
      </c>
      <c r="B59" s="184">
        <v>2</v>
      </c>
      <c r="C59" s="304">
        <v>0.79900000000000004</v>
      </c>
      <c r="D59" s="262">
        <v>1E-3</v>
      </c>
      <c r="E59" s="262">
        <v>0.99399999999999999</v>
      </c>
      <c r="F59" s="262">
        <f t="shared" si="1"/>
        <v>0.8</v>
      </c>
      <c r="G59" s="304">
        <v>2.3184941377345054</v>
      </c>
      <c r="H59" s="304">
        <v>-9.2563399999999998</v>
      </c>
      <c r="J59" s="308">
        <v>1.2</v>
      </c>
      <c r="K59" s="306">
        <f t="shared" si="2"/>
        <v>0.47297953367915357</v>
      </c>
    </row>
    <row r="60" spans="1:14" s="49" customFormat="1" ht="13">
      <c r="A60" s="184">
        <v>5</v>
      </c>
      <c r="B60" s="184">
        <v>0</v>
      </c>
      <c r="C60" s="304">
        <v>0.79900000000000004</v>
      </c>
      <c r="D60" s="262">
        <v>0</v>
      </c>
      <c r="E60" s="262">
        <v>0.99399999999999999</v>
      </c>
      <c r="F60" s="262">
        <f t="shared" si="1"/>
        <v>0.79900000000000004</v>
      </c>
      <c r="G60" s="304">
        <v>9.3587152024545901</v>
      </c>
      <c r="H60" s="304">
        <v>-10.275523999999999</v>
      </c>
      <c r="J60" s="308">
        <v>1.2</v>
      </c>
      <c r="K60" s="306">
        <f t="shared" si="2"/>
        <v>0.80420804076541896</v>
      </c>
    </row>
    <row r="61" spans="1:14" s="49" customFormat="1">
      <c r="K61" s="184"/>
    </row>
    <row r="62" spans="1:14" s="49" customFormat="1">
      <c r="K62" s="184"/>
    </row>
    <row r="63" spans="1:14" s="49" customFormat="1"/>
    <row r="64" spans="1:14" s="49" customFormat="1"/>
    <row r="65" s="49" customFormat="1"/>
    <row r="66" s="49" customFormat="1"/>
    <row r="67" s="49" customFormat="1"/>
    <row r="68" s="49" customFormat="1"/>
    <row r="69" s="49" customFormat="1"/>
    <row r="70" s="49" customFormat="1"/>
    <row r="71" s="49" customFormat="1"/>
    <row r="72" s="49" customFormat="1"/>
  </sheetData>
  <phoneticPr fontId="0" type="noConversion"/>
  <pageMargins left="0.75" right="0.75" top="1" bottom="1" header="0.5" footer="0.5"/>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Q199"/>
  <sheetViews>
    <sheetView topLeftCell="D25" zoomScaleNormal="100" workbookViewId="0">
      <selection activeCell="I25" sqref="I25"/>
    </sheetView>
  </sheetViews>
  <sheetFormatPr defaultColWidth="9.09765625" defaultRowHeight="11.5"/>
  <cols>
    <col min="1" max="1" width="10.3984375" style="420" customWidth="1"/>
    <col min="2" max="2" width="8.8984375" style="420" customWidth="1"/>
    <col min="3" max="5" width="10.09765625" style="420" customWidth="1"/>
    <col min="6" max="6" width="9.3984375" style="420" customWidth="1"/>
    <col min="7" max="7" width="9.3984375" style="420" bestFit="1" customWidth="1"/>
    <col min="8" max="16384" width="9.09765625" style="420"/>
  </cols>
  <sheetData>
    <row r="1" spans="1:14" ht="15.5">
      <c r="A1" s="365" t="s">
        <v>174</v>
      </c>
      <c r="B1" s="365"/>
      <c r="C1" s="365"/>
      <c r="D1" s="365"/>
      <c r="E1" s="365"/>
      <c r="F1" s="365"/>
      <c r="H1" s="365"/>
      <c r="I1" s="367" t="s">
        <v>173</v>
      </c>
      <c r="J1" s="365"/>
      <c r="K1" s="365"/>
      <c r="L1" s="365"/>
      <c r="M1" s="365"/>
      <c r="N1" s="365"/>
    </row>
    <row r="2" spans="1:14">
      <c r="A2" s="421"/>
      <c r="B2" s="421"/>
      <c r="C2" s="421"/>
      <c r="D2" s="421"/>
      <c r="E2" s="421"/>
      <c r="F2" s="421"/>
      <c r="G2" s="422"/>
      <c r="H2" s="422"/>
      <c r="I2" s="422"/>
      <c r="J2" s="422"/>
      <c r="K2" s="421"/>
      <c r="L2" s="421"/>
      <c r="M2" s="421"/>
      <c r="N2" s="421"/>
    </row>
    <row r="3" spans="1:14" ht="13">
      <c r="A3" s="370" t="s">
        <v>1073</v>
      </c>
      <c r="B3" s="421"/>
      <c r="C3" s="421"/>
      <c r="D3" s="421"/>
      <c r="E3" s="371" t="s">
        <v>200</v>
      </c>
      <c r="F3" s="421"/>
      <c r="G3" s="422"/>
      <c r="H3" s="422"/>
      <c r="I3" s="422"/>
      <c r="J3" s="422"/>
      <c r="K3" s="421"/>
      <c r="L3" s="421"/>
      <c r="M3" s="421"/>
      <c r="N3" s="421"/>
    </row>
    <row r="4" spans="1:14" ht="18.5">
      <c r="A4" s="372" t="s">
        <v>1192</v>
      </c>
      <c r="B4" s="421"/>
      <c r="C4" s="421"/>
      <c r="D4" s="421"/>
      <c r="E4" s="420" t="s">
        <v>175</v>
      </c>
      <c r="F4" s="421"/>
      <c r="G4" s="422"/>
      <c r="H4" s="422"/>
      <c r="I4" s="422"/>
      <c r="J4" s="422"/>
      <c r="K4" s="421"/>
      <c r="L4" s="421"/>
      <c r="M4" s="421"/>
      <c r="N4" s="421"/>
    </row>
    <row r="5" spans="1:14" ht="13.5">
      <c r="A5" s="421" t="s">
        <v>176</v>
      </c>
      <c r="B5" s="421"/>
      <c r="C5" s="421"/>
      <c r="D5" s="421"/>
      <c r="E5" s="421"/>
      <c r="F5" s="421"/>
      <c r="G5" s="421"/>
      <c r="H5" s="421"/>
      <c r="I5" s="421"/>
      <c r="J5" s="421"/>
      <c r="K5" s="421"/>
      <c r="L5" s="421"/>
      <c r="M5" s="421" t="s">
        <v>233</v>
      </c>
      <c r="N5" s="421"/>
    </row>
    <row r="6" spans="1:14">
      <c r="A6" s="421" t="s">
        <v>1195</v>
      </c>
      <c r="B6" s="421"/>
      <c r="C6" s="421"/>
      <c r="D6" s="421"/>
      <c r="E6" s="421"/>
      <c r="F6" s="421"/>
      <c r="G6" s="421"/>
      <c r="H6" s="421"/>
      <c r="I6" s="421"/>
      <c r="J6" s="421"/>
      <c r="K6" s="421"/>
      <c r="L6" s="421"/>
      <c r="M6" s="421"/>
      <c r="N6" s="421"/>
    </row>
    <row r="7" spans="1:14" ht="13">
      <c r="A7" s="373" t="s">
        <v>879</v>
      </c>
      <c r="B7" s="374">
        <v>1.01</v>
      </c>
      <c r="C7" s="373" t="s">
        <v>863</v>
      </c>
      <c r="D7" s="423">
        <v>48.4</v>
      </c>
      <c r="E7" s="373" t="s">
        <v>1026</v>
      </c>
      <c r="F7" s="376" t="s">
        <v>1026</v>
      </c>
      <c r="G7" s="374"/>
      <c r="H7" s="422"/>
      <c r="I7" s="422"/>
      <c r="J7" s="422"/>
      <c r="K7" s="421"/>
      <c r="L7" s="421"/>
      <c r="M7" s="421"/>
      <c r="N7" s="421"/>
    </row>
    <row r="8" spans="1:14">
      <c r="A8" s="421" t="s">
        <v>1196</v>
      </c>
      <c r="B8" s="421"/>
      <c r="C8" s="424"/>
      <c r="D8" s="421"/>
      <c r="E8" s="424"/>
      <c r="F8" s="422"/>
      <c r="G8" s="422"/>
      <c r="H8" s="422"/>
      <c r="I8" s="422"/>
      <c r="J8" s="422"/>
      <c r="K8" s="421"/>
      <c r="L8" s="421"/>
      <c r="M8" s="421"/>
      <c r="N8" s="421"/>
    </row>
    <row r="9" spans="1:14">
      <c r="A9" s="420" t="s">
        <v>1197</v>
      </c>
    </row>
    <row r="10" spans="1:14" ht="13">
      <c r="A10" s="422" t="s">
        <v>167</v>
      </c>
      <c r="B10" s="421"/>
      <c r="C10" s="424"/>
      <c r="D10" s="421"/>
      <c r="E10" s="424"/>
      <c r="F10" s="422"/>
      <c r="G10" s="422"/>
      <c r="H10" s="422"/>
      <c r="I10" s="422"/>
      <c r="J10" s="422"/>
      <c r="K10" s="421"/>
      <c r="L10" s="421"/>
      <c r="M10" s="421"/>
      <c r="N10" s="421"/>
    </row>
    <row r="11" spans="1:14" s="427" customFormat="1">
      <c r="A11" s="425"/>
      <c r="B11" s="425"/>
      <c r="C11" s="426"/>
      <c r="D11" s="425"/>
      <c r="E11" s="426"/>
      <c r="F11" s="425"/>
      <c r="G11" s="425"/>
      <c r="H11" s="425"/>
      <c r="I11" s="425"/>
      <c r="J11" s="425"/>
      <c r="K11" s="425"/>
      <c r="L11" s="425"/>
      <c r="M11" s="425"/>
      <c r="N11" s="425"/>
    </row>
    <row r="12" spans="1:14">
      <c r="A12" s="422"/>
      <c r="B12" s="421"/>
      <c r="C12" s="424"/>
      <c r="D12" s="421"/>
      <c r="E12" s="424"/>
      <c r="F12" s="422"/>
      <c r="G12" s="422"/>
      <c r="H12" s="422"/>
      <c r="I12" s="422"/>
      <c r="J12" s="422"/>
      <c r="K12" s="421"/>
      <c r="L12" s="421"/>
      <c r="M12" s="421"/>
      <c r="N12" s="421"/>
    </row>
    <row r="13" spans="1:14" ht="13">
      <c r="A13" s="379" t="s">
        <v>1090</v>
      </c>
      <c r="E13" s="380" t="s">
        <v>178</v>
      </c>
    </row>
    <row r="14" spans="1:14" ht="12" customHeight="1">
      <c r="A14" s="428"/>
    </row>
    <row r="15" spans="1:14" s="430" customFormat="1" ht="12" customHeight="1">
      <c r="A15" s="429" t="s">
        <v>1200</v>
      </c>
      <c r="D15" s="430" t="s">
        <v>1201</v>
      </c>
      <c r="G15" s="430" t="s">
        <v>1202</v>
      </c>
    </row>
    <row r="16" spans="1:14" s="433" customFormat="1" ht="13">
      <c r="A16" s="431" t="s">
        <v>1055</v>
      </c>
      <c r="B16" s="432" t="s">
        <v>986</v>
      </c>
      <c r="D16" s="434" t="s">
        <v>866</v>
      </c>
      <c r="E16" s="435" t="s">
        <v>1165</v>
      </c>
      <c r="F16" s="434"/>
      <c r="G16" s="434" t="s">
        <v>1057</v>
      </c>
      <c r="H16" s="432" t="s">
        <v>1176</v>
      </c>
    </row>
    <row r="17" spans="1:17" s="428" customFormat="1">
      <c r="A17" s="428">
        <v>1</v>
      </c>
      <c r="B17" s="428">
        <v>0.9</v>
      </c>
      <c r="D17" s="428">
        <v>1</v>
      </c>
      <c r="E17" s="464">
        <v>4</v>
      </c>
      <c r="F17" s="436"/>
      <c r="G17" s="428">
        <v>1</v>
      </c>
      <c r="H17" s="465">
        <v>2.1</v>
      </c>
    </row>
    <row r="18" spans="1:17" s="428" customFormat="1">
      <c r="A18" s="428">
        <v>2</v>
      </c>
      <c r="B18" s="428">
        <v>2.9</v>
      </c>
      <c r="D18" s="436">
        <v>2</v>
      </c>
      <c r="E18" s="466">
        <v>2.9</v>
      </c>
      <c r="F18" s="436"/>
      <c r="G18" s="436">
        <v>2</v>
      </c>
      <c r="H18" s="465">
        <v>0.85</v>
      </c>
    </row>
    <row r="19" spans="1:17" s="428" customFormat="1">
      <c r="A19" s="428">
        <v>3</v>
      </c>
      <c r="B19" s="428">
        <v>3.8</v>
      </c>
      <c r="D19" s="436">
        <v>3</v>
      </c>
      <c r="E19" s="466">
        <v>2.8</v>
      </c>
      <c r="F19" s="436"/>
      <c r="G19" s="436">
        <v>3</v>
      </c>
      <c r="H19" s="465">
        <v>0.7</v>
      </c>
    </row>
    <row r="20" spans="1:17" s="428" customFormat="1" ht="14.15" customHeight="1">
      <c r="A20" s="428">
        <v>4</v>
      </c>
      <c r="B20" s="428">
        <v>5.8</v>
      </c>
      <c r="D20" s="436">
        <v>4</v>
      </c>
      <c r="E20" s="466">
        <v>2.7</v>
      </c>
      <c r="F20" s="436"/>
      <c r="G20" s="436">
        <v>4</v>
      </c>
      <c r="H20" s="465">
        <v>0.45</v>
      </c>
    </row>
    <row r="21" spans="1:17" s="437" customFormat="1">
      <c r="D21" s="436">
        <v>5</v>
      </c>
      <c r="E21" s="466">
        <v>1.3</v>
      </c>
    </row>
    <row r="22" spans="1:17" s="427" customFormat="1"/>
    <row r="23" spans="1:17">
      <c r="A23" s="437" t="s">
        <v>185</v>
      </c>
      <c r="B23" s="437"/>
      <c r="C23" s="437"/>
      <c r="D23" s="437"/>
      <c r="E23" s="437"/>
      <c r="F23" s="437"/>
      <c r="G23" s="437"/>
      <c r="H23" s="437"/>
      <c r="I23" s="437"/>
      <c r="J23" s="437"/>
      <c r="K23" s="437"/>
      <c r="L23" s="437"/>
      <c r="M23" s="437"/>
      <c r="N23" s="437"/>
      <c r="O23" s="437"/>
      <c r="P23" s="437"/>
      <c r="Q23" s="437"/>
    </row>
    <row r="24" spans="1:17">
      <c r="A24" s="438" t="s">
        <v>1085</v>
      </c>
      <c r="B24" s="439"/>
      <c r="C24" s="439"/>
      <c r="D24" s="439"/>
      <c r="E24" s="439"/>
      <c r="F24" s="439"/>
      <c r="G24" s="439"/>
      <c r="H24" s="439"/>
      <c r="I24" s="439"/>
      <c r="J24" s="437"/>
      <c r="K24" s="437"/>
      <c r="L24" s="437"/>
      <c r="M24" s="437"/>
      <c r="N24" s="437"/>
      <c r="O24" s="437"/>
      <c r="P24" s="437"/>
      <c r="Q24" s="437"/>
    </row>
    <row r="25" spans="1:17" s="443" customFormat="1">
      <c r="A25" s="440" t="s">
        <v>184</v>
      </c>
      <c r="B25" s="441" t="s">
        <v>179</v>
      </c>
      <c r="C25" s="441" t="s">
        <v>199</v>
      </c>
      <c r="D25" s="441" t="s">
        <v>180</v>
      </c>
      <c r="E25" s="441" t="s">
        <v>181</v>
      </c>
      <c r="F25" s="516" t="s">
        <v>255</v>
      </c>
      <c r="G25" s="441" t="s">
        <v>182</v>
      </c>
      <c r="H25" s="441" t="s">
        <v>1210</v>
      </c>
      <c r="I25" s="441" t="s">
        <v>183</v>
      </c>
      <c r="J25" s="441"/>
      <c r="K25" s="442"/>
      <c r="L25" s="442"/>
      <c r="M25" s="442"/>
      <c r="N25" s="442"/>
      <c r="O25" s="442"/>
      <c r="P25" s="442"/>
      <c r="Q25" s="442"/>
    </row>
    <row r="26" spans="1:17">
      <c r="A26" s="469">
        <v>1</v>
      </c>
      <c r="B26" s="444">
        <f t="shared" ref="B26:I39" si="0">$B$7/(1+$D$7*EXP(-((LOOKUP(B$52,$A$17:$A$20,$B$17:$B$20)*LOOKUP(B$53,$D$17:$D$21,$E$17:$E$21))+(LOOKUP(B$52,$A$17:$A$20,$B$17:$B$20)*LOOKUP($B$53,$D$17:$D$21,$E$17:$E$21)*LOOKUP(B$54,$G$17:$G$20,$H$17:$H$20)))*$A26/1000))</f>
        <v>2.0518124838417796E-2</v>
      </c>
      <c r="C26" s="444">
        <f t="shared" si="0"/>
        <v>2.061424794183192E-2</v>
      </c>
      <c r="D26" s="444">
        <f t="shared" si="0"/>
        <v>2.0642911928355039E-2</v>
      </c>
      <c r="E26" s="444">
        <f t="shared" si="0"/>
        <v>2.0661978838585456E-2</v>
      </c>
      <c r="F26" s="517">
        <f t="shared" si="0"/>
        <v>2.0679300654985192E-2</v>
      </c>
      <c r="G26" s="444">
        <f t="shared" si="0"/>
        <v>2.0752439388184586E-2</v>
      </c>
      <c r="H26" s="444">
        <f t="shared" si="0"/>
        <v>2.0870556637923383E-2</v>
      </c>
      <c r="I26" s="444">
        <f t="shared" si="0"/>
        <v>2.1085839881043483E-2</v>
      </c>
      <c r="J26" s="437"/>
      <c r="K26" s="437"/>
      <c r="L26" s="437"/>
      <c r="M26" s="437"/>
      <c r="N26" s="437"/>
      <c r="O26" s="437"/>
      <c r="P26" s="437"/>
      <c r="Q26" s="437"/>
    </row>
    <row r="27" spans="1:17">
      <c r="A27" s="470">
        <v>20</v>
      </c>
      <c r="B27" s="444">
        <f t="shared" si="0"/>
        <v>2.1950136364733502E-2</v>
      </c>
      <c r="C27" s="444">
        <f t="shared" si="0"/>
        <v>2.4095372498037653E-2</v>
      </c>
      <c r="D27" s="444">
        <f t="shared" si="0"/>
        <v>2.4771741192350014E-2</v>
      </c>
      <c r="E27" s="444">
        <f t="shared" si="0"/>
        <v>2.5231341581913851E-2</v>
      </c>
      <c r="F27" s="517">
        <f t="shared" si="0"/>
        <v>2.565570378441075E-2</v>
      </c>
      <c r="G27" s="444">
        <f t="shared" si="0"/>
        <v>2.7521262522103854E-2</v>
      </c>
      <c r="H27" s="444">
        <f t="shared" si="0"/>
        <v>3.0800042045637899E-2</v>
      </c>
      <c r="I27" s="444">
        <f t="shared" si="0"/>
        <v>3.7713956717650952E-2</v>
      </c>
      <c r="J27" s="437"/>
      <c r="K27" s="437"/>
      <c r="L27" s="437"/>
      <c r="M27" s="437"/>
      <c r="N27" s="437"/>
      <c r="O27" s="437"/>
      <c r="P27" s="437"/>
      <c r="Q27" s="437"/>
    </row>
    <row r="28" spans="1:17">
      <c r="A28" s="470">
        <v>40</v>
      </c>
      <c r="B28" s="444">
        <f t="shared" si="0"/>
        <v>2.356304516176061E-2</v>
      </c>
      <c r="C28" s="444">
        <f t="shared" si="0"/>
        <v>2.8378339098649532E-2</v>
      </c>
      <c r="D28" s="444">
        <f t="shared" si="0"/>
        <v>2.9985896346055085E-2</v>
      </c>
      <c r="E28" s="444">
        <f t="shared" si="0"/>
        <v>3.1102467529579569E-2</v>
      </c>
      <c r="F28" s="517">
        <f t="shared" si="0"/>
        <v>3.215074765817226E-2</v>
      </c>
      <c r="G28" s="444">
        <f t="shared" si="0"/>
        <v>3.6954628303508354E-2</v>
      </c>
      <c r="H28" s="444">
        <f t="shared" si="0"/>
        <v>4.6154356148657823E-2</v>
      </c>
      <c r="I28" s="444">
        <f t="shared" si="0"/>
        <v>6.8557541572020944E-2</v>
      </c>
      <c r="J28" s="437"/>
      <c r="K28" s="437"/>
      <c r="L28" s="437"/>
      <c r="M28" s="437"/>
      <c r="N28" s="437"/>
      <c r="O28" s="437"/>
      <c r="P28" s="437"/>
      <c r="Q28" s="437"/>
    </row>
    <row r="29" spans="1:17">
      <c r="A29" s="470">
        <v>60</v>
      </c>
      <c r="B29" s="444">
        <f t="shared" si="0"/>
        <v>2.5291437705159722E-2</v>
      </c>
      <c r="C29" s="444">
        <f t="shared" si="0"/>
        <v>3.3396817036371894E-2</v>
      </c>
      <c r="D29" s="444">
        <f t="shared" si="0"/>
        <v>3.6257179273839563E-2</v>
      </c>
      <c r="E29" s="444">
        <f t="shared" si="0"/>
        <v>3.828664146825804E-2</v>
      </c>
      <c r="F29" s="517">
        <f t="shared" si="0"/>
        <v>4.0222898160768086E-2</v>
      </c>
      <c r="G29" s="444">
        <f t="shared" si="0"/>
        <v>4.945866181171054E-2</v>
      </c>
      <c r="H29" s="444">
        <f t="shared" si="0"/>
        <v>6.862659004596329E-2</v>
      </c>
      <c r="I29" s="444">
        <f t="shared" si="0"/>
        <v>0.12147441122832618</v>
      </c>
      <c r="J29" s="437"/>
      <c r="K29" s="437"/>
      <c r="L29" s="437"/>
      <c r="M29" s="437"/>
      <c r="N29" s="437"/>
      <c r="O29" s="437"/>
      <c r="P29" s="437"/>
      <c r="Q29" s="437"/>
    </row>
    <row r="30" spans="1:17">
      <c r="A30" s="470">
        <v>80</v>
      </c>
      <c r="B30" s="444">
        <f t="shared" si="0"/>
        <v>2.7143122468060967E-2</v>
      </c>
      <c r="C30" s="444">
        <f t="shared" si="0"/>
        <v>3.9267270638037817E-2</v>
      </c>
      <c r="D30" s="444">
        <f t="shared" si="0"/>
        <v>4.3781451065711754E-2</v>
      </c>
      <c r="E30" s="444">
        <f t="shared" si="0"/>
        <v>4.7050484902470019E-2</v>
      </c>
      <c r="F30" s="517">
        <f t="shared" si="0"/>
        <v>5.0217658005456356E-2</v>
      </c>
      <c r="G30" s="444">
        <f t="shared" si="0"/>
        <v>6.5907012758934097E-2</v>
      </c>
      <c r="H30" s="444">
        <f t="shared" si="0"/>
        <v>0.10089503752673991</v>
      </c>
      <c r="I30" s="444">
        <f t="shared" si="0"/>
        <v>0.20628601893369033</v>
      </c>
      <c r="J30" s="437"/>
      <c r="K30" s="437"/>
      <c r="L30" s="437"/>
      <c r="M30" s="437"/>
      <c r="N30" s="437"/>
      <c r="O30" s="437"/>
      <c r="P30" s="437"/>
      <c r="Q30" s="437"/>
    </row>
    <row r="31" spans="1:17">
      <c r="A31" s="470">
        <v>100</v>
      </c>
      <c r="B31" s="444">
        <f t="shared" si="0"/>
        <v>2.9126366339899998E-2</v>
      </c>
      <c r="C31" s="444">
        <f t="shared" si="0"/>
        <v>4.6120893334577757E-2</v>
      </c>
      <c r="D31" s="444">
        <f t="shared" si="0"/>
        <v>5.2782556439960479E-2</v>
      </c>
      <c r="E31" s="444">
        <f t="shared" si="0"/>
        <v>5.7701258041430774E-2</v>
      </c>
      <c r="F31" s="517">
        <f t="shared" si="0"/>
        <v>6.2535808572186435E-2</v>
      </c>
      <c r="G31" s="444">
        <f t="shared" si="0"/>
        <v>8.7328227377700796E-2</v>
      </c>
      <c r="H31" s="444">
        <f t="shared" si="0"/>
        <v>0.14598330649317376</v>
      </c>
      <c r="I31" s="444">
        <f t="shared" si="0"/>
        <v>0.32842455260915188</v>
      </c>
      <c r="J31" s="437"/>
      <c r="K31" s="437"/>
      <c r="L31" s="437"/>
      <c r="M31" s="437"/>
      <c r="N31" s="437"/>
      <c r="O31" s="437"/>
      <c r="P31" s="437"/>
      <c r="Q31" s="437"/>
    </row>
    <row r="32" spans="1:17">
      <c r="A32" s="470">
        <v>125</v>
      </c>
      <c r="B32" s="444">
        <f t="shared" si="0"/>
        <v>3.1803789840981575E-2</v>
      </c>
      <c r="C32" s="444">
        <f t="shared" si="0"/>
        <v>5.6294939631055439E-2</v>
      </c>
      <c r="D32" s="444">
        <f t="shared" si="0"/>
        <v>6.6497335248509079E-2</v>
      </c>
      <c r="E32" s="444">
        <f t="shared" si="0"/>
        <v>7.4200880989714807E-2</v>
      </c>
      <c r="F32" s="517">
        <f t="shared" si="0"/>
        <v>8.1896476528741907E-2</v>
      </c>
      <c r="G32" s="444">
        <f t="shared" si="0"/>
        <v>0.12284192495097079</v>
      </c>
      <c r="H32" s="444">
        <f t="shared" si="0"/>
        <v>0.22444674085391136</v>
      </c>
      <c r="I32" s="444">
        <f t="shared" si="0"/>
        <v>0.51945172502230053</v>
      </c>
      <c r="J32" s="437"/>
      <c r="K32" s="437"/>
      <c r="L32" s="437"/>
      <c r="M32" s="437"/>
      <c r="N32" s="437"/>
      <c r="O32" s="437"/>
      <c r="P32" s="437"/>
      <c r="Q32" s="437"/>
    </row>
    <row r="33" spans="1:17">
      <c r="A33" s="470">
        <v>150</v>
      </c>
      <c r="B33" s="444">
        <f t="shared" si="0"/>
        <v>3.4718622281492299E-2</v>
      </c>
      <c r="C33" s="444">
        <f t="shared" si="0"/>
        <v>6.8553707434966582E-2</v>
      </c>
      <c r="D33" s="444">
        <f t="shared" si="0"/>
        <v>8.3464971330081142E-2</v>
      </c>
      <c r="E33" s="444">
        <f t="shared" si="0"/>
        <v>9.4948146858857885E-2</v>
      </c>
      <c r="F33" s="517">
        <f t="shared" si="0"/>
        <v>0.10657684174593308</v>
      </c>
      <c r="G33" s="444">
        <f t="shared" si="0"/>
        <v>0.17013487427915008</v>
      </c>
      <c r="H33" s="444">
        <f t="shared" si="0"/>
        <v>0.32902323533944622</v>
      </c>
      <c r="I33" s="444">
        <f t="shared" si="0"/>
        <v>0.70642751479279509</v>
      </c>
      <c r="J33" s="437"/>
      <c r="K33" s="437"/>
      <c r="L33" s="437"/>
      <c r="M33" s="437"/>
      <c r="N33" s="437"/>
      <c r="O33" s="437"/>
      <c r="P33" s="437"/>
      <c r="Q33" s="437"/>
    </row>
    <row r="34" spans="1:17">
      <c r="A34" s="470">
        <v>200</v>
      </c>
      <c r="B34" s="444">
        <f t="shared" si="0"/>
        <v>4.1339338088900682E-2</v>
      </c>
      <c r="C34" s="444">
        <f t="shared" si="0"/>
        <v>0.1007570811035462</v>
      </c>
      <c r="D34" s="444">
        <f t="shared" si="0"/>
        <v>0.1295687954306341</v>
      </c>
      <c r="E34" s="444">
        <f t="shared" si="0"/>
        <v>0.15239085566331573</v>
      </c>
      <c r="F34" s="517">
        <f t="shared" si="0"/>
        <v>0.17587644408232025</v>
      </c>
      <c r="G34" s="444">
        <f t="shared" si="0"/>
        <v>0.30546563737438931</v>
      </c>
      <c r="H34" s="444">
        <f t="shared" si="0"/>
        <v>0.58592960482711653</v>
      </c>
      <c r="I34" s="444">
        <f t="shared" si="0"/>
        <v>0.92747012132890971</v>
      </c>
      <c r="J34" s="437"/>
      <c r="K34" s="437"/>
      <c r="L34" s="437"/>
      <c r="M34" s="437"/>
      <c r="N34" s="437"/>
      <c r="O34" s="437"/>
      <c r="P34" s="437"/>
      <c r="Q34" s="437"/>
    </row>
    <row r="35" spans="1:17">
      <c r="A35" s="470">
        <v>250</v>
      </c>
      <c r="B35" s="444">
        <f t="shared" si="0"/>
        <v>4.9158961939513066E-2</v>
      </c>
      <c r="C35" s="444">
        <f t="shared" si="0"/>
        <v>0.14574618866292688</v>
      </c>
      <c r="D35" s="444">
        <f t="shared" si="0"/>
        <v>0.19575856859712165</v>
      </c>
      <c r="E35" s="444">
        <f t="shared" si="0"/>
        <v>0.23563672121799309</v>
      </c>
      <c r="F35" s="517">
        <f t="shared" si="0"/>
        <v>0.27644818796134496</v>
      </c>
      <c r="G35" s="444">
        <f t="shared" si="0"/>
        <v>0.48613445554072621</v>
      </c>
      <c r="H35" s="444">
        <f t="shared" si="0"/>
        <v>0.80600593183499958</v>
      </c>
      <c r="I35" s="444">
        <f t="shared" si="0"/>
        <v>0.99172658514911827</v>
      </c>
      <c r="J35" s="437"/>
      <c r="K35" s="437"/>
      <c r="L35" s="437"/>
      <c r="M35" s="437"/>
      <c r="N35" s="437"/>
      <c r="O35" s="437"/>
      <c r="P35" s="437"/>
      <c r="Q35" s="437"/>
    </row>
    <row r="36" spans="1:17">
      <c r="A36" s="470">
        <v>300</v>
      </c>
      <c r="B36" s="444">
        <f t="shared" si="0"/>
        <v>5.8368593797346324E-2</v>
      </c>
      <c r="C36" s="444">
        <f t="shared" si="0"/>
        <v>0.20626632122200703</v>
      </c>
      <c r="D36" s="444">
        <f t="shared" si="0"/>
        <v>0.28482259397406173</v>
      </c>
      <c r="E36" s="444">
        <f t="shared" si="0"/>
        <v>0.34600990878930526</v>
      </c>
      <c r="F36" s="517">
        <f t="shared" si="0"/>
        <v>0.40650298706969318</v>
      </c>
      <c r="G36" s="444">
        <f t="shared" si="0"/>
        <v>0.67177231794484205</v>
      </c>
      <c r="H36" s="444">
        <f t="shared" si="0"/>
        <v>0.9278784431695164</v>
      </c>
      <c r="I36" s="444">
        <f t="shared" si="0"/>
        <v>1.0061610563127723</v>
      </c>
      <c r="J36" s="437"/>
      <c r="K36" s="437"/>
      <c r="L36" s="437"/>
      <c r="M36" s="437"/>
      <c r="N36" s="437"/>
      <c r="O36" s="437"/>
      <c r="P36" s="437"/>
      <c r="Q36" s="437"/>
    </row>
    <row r="37" spans="1:17">
      <c r="A37" s="470">
        <v>350</v>
      </c>
      <c r="B37" s="444">
        <f t="shared" si="0"/>
        <v>6.917936964804218E-2</v>
      </c>
      <c r="C37" s="444">
        <f t="shared" si="0"/>
        <v>0.28366858273890494</v>
      </c>
      <c r="D37" s="444">
        <f t="shared" si="0"/>
        <v>0.39476231728094874</v>
      </c>
      <c r="E37" s="444">
        <f t="shared" si="0"/>
        <v>0.47628393294855781</v>
      </c>
      <c r="F37" s="517">
        <f t="shared" si="0"/>
        <v>0.55172372155874294</v>
      </c>
      <c r="G37" s="444">
        <f t="shared" si="0"/>
        <v>0.81765505194813004</v>
      </c>
      <c r="H37" s="444">
        <f t="shared" si="0"/>
        <v>0.97967946354071467</v>
      </c>
      <c r="I37" s="444">
        <f t="shared" si="0"/>
        <v>1.0092026681601485</v>
      </c>
      <c r="J37" s="437"/>
      <c r="K37" s="437"/>
      <c r="L37" s="437"/>
      <c r="M37" s="437"/>
      <c r="N37" s="437"/>
      <c r="O37" s="437"/>
      <c r="P37" s="437"/>
      <c r="Q37" s="437"/>
    </row>
    <row r="38" spans="1:17">
      <c r="A38" s="470">
        <v>400</v>
      </c>
      <c r="B38" s="444">
        <f t="shared" si="0"/>
        <v>8.1820312292320119E-2</v>
      </c>
      <c r="C38" s="444">
        <f t="shared" si="0"/>
        <v>0.37650995118280445</v>
      </c>
      <c r="D38" s="444">
        <f t="shared" si="0"/>
        <v>0.51689059891363653</v>
      </c>
      <c r="E38" s="444">
        <f t="shared" si="0"/>
        <v>0.61050861064381889</v>
      </c>
      <c r="F38" s="517">
        <f t="shared" si="0"/>
        <v>0.68954720691544835</v>
      </c>
      <c r="G38" s="444">
        <f t="shared" si="0"/>
        <v>0.90998430120096074</v>
      </c>
      <c r="H38" s="444">
        <f t="shared" si="0"/>
        <v>0.99918600887665832</v>
      </c>
      <c r="I38" s="444">
        <f t="shared" si="0"/>
        <v>1.0098347933493879</v>
      </c>
      <c r="J38" s="437"/>
      <c r="K38" s="437"/>
      <c r="L38" s="437"/>
      <c r="M38" s="437"/>
      <c r="N38" s="437"/>
      <c r="O38" s="437"/>
      <c r="P38" s="437"/>
      <c r="Q38" s="437"/>
    </row>
    <row r="39" spans="1:17">
      <c r="A39" s="470">
        <v>450</v>
      </c>
      <c r="B39" s="444">
        <f t="shared" si="0"/>
        <v>9.6534092896947282E-2</v>
      </c>
      <c r="C39" s="444">
        <f t="shared" si="0"/>
        <v>0.47967032065072224</v>
      </c>
      <c r="D39" s="444">
        <f t="shared" si="0"/>
        <v>0.63764292763541242</v>
      </c>
      <c r="E39" s="444">
        <f t="shared" si="0"/>
        <v>0.73076741973188952</v>
      </c>
      <c r="F39" s="517">
        <f t="shared" si="0"/>
        <v>0.80157928557528046</v>
      </c>
      <c r="G39" s="444">
        <f t="shared" si="0"/>
        <v>0.96066773104760061</v>
      </c>
      <c r="H39" s="444">
        <f t="shared" si="0"/>
        <v>1.0061919093911331</v>
      </c>
      <c r="I39" s="444">
        <f t="shared" si="0"/>
        <v>1.0099657862767915</v>
      </c>
      <c r="J39" s="437"/>
      <c r="K39" s="437"/>
      <c r="L39" s="437"/>
      <c r="M39" s="437"/>
      <c r="N39" s="437"/>
      <c r="O39" s="437"/>
      <c r="P39" s="437"/>
      <c r="Q39" s="437"/>
    </row>
    <row r="40" spans="1:17">
      <c r="A40" s="470">
        <v>500</v>
      </c>
      <c r="B40" s="444">
        <f t="shared" ref="B40:I42" si="1">$B$7/(1+$D$7*EXP(-((LOOKUP(B$52,$A$17:$A$20,$B$17:$B$20)*LOOKUP(B$53,$D$17:$D$21,$E$17:$E$21))+(LOOKUP(B$52,$A$17:$A$20,$B$17:$B$20)*LOOKUP($B$53,$D$17:$D$21,$E$17:$E$21)*LOOKUP(B$54,$G$17:$G$20,$H$17:$H$20)))*$A40/1000))</f>
        <v>0.11357010160022581</v>
      </c>
      <c r="C40" s="444">
        <f t="shared" si="1"/>
        <v>0.58499446327630944</v>
      </c>
      <c r="D40" s="444">
        <f t="shared" si="1"/>
        <v>0.74404025685506414</v>
      </c>
      <c r="E40" s="444">
        <f t="shared" si="1"/>
        <v>0.8257502490160199</v>
      </c>
      <c r="F40" s="517">
        <f t="shared" si="1"/>
        <v>0.88173019225743809</v>
      </c>
      <c r="G40" s="444">
        <f t="shared" si="1"/>
        <v>0.98633502995455447</v>
      </c>
      <c r="H40" s="444">
        <f t="shared" si="1"/>
        <v>1.008665064693413</v>
      </c>
      <c r="I40" s="444">
        <f t="shared" si="1"/>
        <v>1.0099929151855205</v>
      </c>
      <c r="J40" s="437"/>
      <c r="K40" s="437"/>
      <c r="L40" s="437"/>
      <c r="M40" s="437"/>
      <c r="N40" s="437"/>
      <c r="O40" s="437"/>
      <c r="P40" s="437"/>
      <c r="Q40" s="437"/>
    </row>
    <row r="41" spans="1:17">
      <c r="A41" s="470">
        <v>550</v>
      </c>
      <c r="B41" s="444">
        <f t="shared" si="1"/>
        <v>0.13317425567635691</v>
      </c>
      <c r="C41" s="444">
        <f t="shared" si="1"/>
        <v>0.68363332636545937</v>
      </c>
      <c r="D41" s="444">
        <f t="shared" si="1"/>
        <v>0.82868067525545575</v>
      </c>
      <c r="E41" s="444">
        <f t="shared" si="1"/>
        <v>0.89357162187632855</v>
      </c>
      <c r="F41" s="517">
        <f t="shared" si="1"/>
        <v>0.93398116870705006</v>
      </c>
      <c r="G41" s="444">
        <f t="shared" si="1"/>
        <v>0.99880342640315545</v>
      </c>
      <c r="H41" s="444">
        <f t="shared" si="1"/>
        <v>1.0095327810448573</v>
      </c>
      <c r="I41" s="444">
        <f t="shared" si="1"/>
        <v>1.0099985329416845</v>
      </c>
      <c r="J41" s="437"/>
      <c r="K41" s="437"/>
      <c r="L41" s="437"/>
      <c r="M41" s="437"/>
      <c r="N41" s="437"/>
      <c r="O41" s="437"/>
      <c r="P41" s="437"/>
      <c r="Q41" s="437"/>
    </row>
    <row r="42" spans="1:17">
      <c r="A42" s="470">
        <v>600</v>
      </c>
      <c r="B42" s="444">
        <f t="shared" si="1"/>
        <v>0.15557512949211405</v>
      </c>
      <c r="C42" s="444">
        <f t="shared" si="1"/>
        <v>0.76881758710527115</v>
      </c>
      <c r="D42" s="444">
        <f t="shared" si="1"/>
        <v>0.89070356072719892</v>
      </c>
      <c r="E42" s="444">
        <f t="shared" si="1"/>
        <v>0.9385873025533974</v>
      </c>
      <c r="F42" s="517">
        <f t="shared" si="1"/>
        <v>0.96600950922526774</v>
      </c>
      <c r="G42" s="444">
        <f t="shared" si="1"/>
        <v>1.0047376297914377</v>
      </c>
      <c r="H42" s="444">
        <f t="shared" si="1"/>
        <v>1.0098365676937942</v>
      </c>
      <c r="I42" s="444">
        <f t="shared" si="1"/>
        <v>1.0099996962163773</v>
      </c>
      <c r="J42" s="437"/>
      <c r="K42" s="437"/>
      <c r="L42" s="437"/>
      <c r="M42" s="437"/>
      <c r="N42" s="437"/>
      <c r="O42" s="437"/>
      <c r="P42" s="437"/>
      <c r="Q42" s="437"/>
    </row>
    <row r="43" spans="1:17">
      <c r="A43" s="470">
        <v>650</v>
      </c>
      <c r="B43" s="444">
        <f t="shared" ref="B43:I44" si="2">$B$7/(1+$D$7*EXP(-((LOOKUP(B$52,$A$17:$A$20,$B$17:$B$20)*LOOKUP(B$53,$D$17:$D$21,$E$17:$E$21))+(LOOKUP(B$52,$A$17:$A$20,$B$17:$B$20)*LOOKUP($B$53,$D$17:$D$21,$E$17:$E$21)*LOOKUP(B$54,$G$17:$G$20,$H$17:$H$20)))*$A43/1000))</f>
        <v>0.18096632464133344</v>
      </c>
      <c r="C43" s="444">
        <f t="shared" si="2"/>
        <v>0.83738212717412674</v>
      </c>
      <c r="D43" s="444">
        <f t="shared" si="2"/>
        <v>0.93346994212437728</v>
      </c>
      <c r="E43" s="444">
        <f t="shared" si="2"/>
        <v>0.96703505462323114</v>
      </c>
      <c r="F43" s="517">
        <f t="shared" si="2"/>
        <v>0.9849061897650182</v>
      </c>
      <c r="G43" s="444">
        <f t="shared" si="2"/>
        <v>1.0075344588686388</v>
      </c>
      <c r="H43" s="444">
        <f t="shared" si="2"/>
        <v>1.0099428428718371</v>
      </c>
      <c r="I43" s="444">
        <f t="shared" si="2"/>
        <v>1.0099999370956123</v>
      </c>
      <c r="J43" s="437"/>
      <c r="K43" s="437"/>
      <c r="L43" s="437"/>
      <c r="M43" s="437"/>
      <c r="N43" s="437"/>
      <c r="O43" s="437"/>
      <c r="P43" s="437"/>
      <c r="Q43" s="437"/>
    </row>
    <row r="44" spans="1:17">
      <c r="A44" s="470">
        <v>700</v>
      </c>
      <c r="B44" s="444">
        <f t="shared" si="2"/>
        <v>0.20948555108469127</v>
      </c>
      <c r="C44" s="444">
        <f t="shared" si="2"/>
        <v>0.88950959664215556</v>
      </c>
      <c r="D44" s="444">
        <f t="shared" si="2"/>
        <v>0.96173582272664726</v>
      </c>
      <c r="E44" s="444">
        <f t="shared" si="2"/>
        <v>0.98445882420694109</v>
      </c>
      <c r="F44" s="517">
        <f t="shared" si="2"/>
        <v>0.99580483934365038</v>
      </c>
      <c r="G44" s="444">
        <f t="shared" si="2"/>
        <v>1.0088465439053318</v>
      </c>
      <c r="H44" s="444">
        <f t="shared" si="2"/>
        <v>1.0099800118237332</v>
      </c>
      <c r="I44" s="444">
        <f t="shared" si="2"/>
        <v>1.0099999869744087</v>
      </c>
      <c r="J44" s="437"/>
      <c r="K44" s="437"/>
      <c r="L44" s="437"/>
      <c r="M44" s="437"/>
      <c r="N44" s="437"/>
      <c r="O44" s="437"/>
      <c r="P44" s="437"/>
      <c r="Q44" s="437"/>
    </row>
    <row r="45" spans="1:17">
      <c r="A45" s="470">
        <v>750</v>
      </c>
      <c r="B45" s="444">
        <f t="shared" ref="B45:I48" si="3">$B$7/(1+$D$7*EXP(-((LOOKUP(B$52,$A$17:$A$20,$B$17:$B$20)*LOOKUP(B$53,$D$17:$D$21,$E$17:$E$21))+(LOOKUP(B$52,$A$17:$A$20,$B$17:$B$20)*LOOKUP($B$53,$D$17:$D$21,$E$17:$E$21)*LOOKUP(B$54,$G$17:$G$20,$H$17:$H$20)))*$A45/1000))</f>
        <v>0.24119166088286401</v>
      </c>
      <c r="C45" s="444">
        <f t="shared" si="3"/>
        <v>0.92744738263511883</v>
      </c>
      <c r="D45" s="444">
        <f t="shared" si="3"/>
        <v>0.97989853492272683</v>
      </c>
      <c r="E45" s="444">
        <f t="shared" si="3"/>
        <v>0.99492679038075738</v>
      </c>
      <c r="F45" s="517">
        <f t="shared" si="3"/>
        <v>1.0020084357685715</v>
      </c>
      <c r="G45" s="444">
        <f t="shared" si="3"/>
        <v>1.0094607514208107</v>
      </c>
      <c r="H45" s="444">
        <f t="shared" si="3"/>
        <v>1.0099930101871502</v>
      </c>
      <c r="I45" s="444">
        <f t="shared" si="3"/>
        <v>1.0099999973027951</v>
      </c>
      <c r="J45" s="437"/>
      <c r="K45" s="437"/>
      <c r="L45" s="437"/>
      <c r="M45" s="437"/>
      <c r="N45" s="437"/>
      <c r="O45" s="437"/>
      <c r="P45" s="437"/>
      <c r="Q45" s="437"/>
    </row>
    <row r="46" spans="1:17">
      <c r="A46" s="470">
        <v>800</v>
      </c>
      <c r="B46" s="444">
        <f t="shared" si="3"/>
        <v>0.27604179228025993</v>
      </c>
      <c r="C46" s="444">
        <f t="shared" si="3"/>
        <v>0.95418949583283696</v>
      </c>
      <c r="D46" s="444">
        <f t="shared" si="3"/>
        <v>0.99135876054794048</v>
      </c>
      <c r="E46" s="444">
        <f t="shared" si="3"/>
        <v>1.0011430936473071</v>
      </c>
      <c r="F46" s="517">
        <f t="shared" si="3"/>
        <v>1.0055131401531434</v>
      </c>
      <c r="G46" s="444">
        <f t="shared" si="3"/>
        <v>1.009747979320418</v>
      </c>
      <c r="H46" s="444">
        <f t="shared" si="3"/>
        <v>1.0099975557012244</v>
      </c>
      <c r="I46" s="444">
        <f t="shared" si="3"/>
        <v>1.0099999994414908</v>
      </c>
      <c r="J46" s="437"/>
      <c r="K46" s="437"/>
      <c r="L46" s="437"/>
      <c r="M46" s="437"/>
      <c r="N46" s="437"/>
      <c r="O46" s="437"/>
      <c r="P46" s="437"/>
      <c r="Q46" s="437"/>
    </row>
    <row r="47" spans="1:17">
      <c r="A47" s="470">
        <v>850</v>
      </c>
      <c r="B47" s="444">
        <f t="shared" si="3"/>
        <v>0.31387167079977019</v>
      </c>
      <c r="C47" s="444">
        <f t="shared" si="3"/>
        <v>0.97261793111798778</v>
      </c>
      <c r="D47" s="444">
        <f t="shared" si="3"/>
        <v>0.99850702473912523</v>
      </c>
      <c r="E47" s="444">
        <f t="shared" si="3"/>
        <v>1.0048091228600182</v>
      </c>
      <c r="F47" s="517">
        <f t="shared" si="3"/>
        <v>1.0074847129451072</v>
      </c>
      <c r="G47" s="444">
        <f t="shared" si="3"/>
        <v>1.0098822346486986</v>
      </c>
      <c r="H47" s="444">
        <f t="shared" si="3"/>
        <v>1.0099991452447803</v>
      </c>
      <c r="I47" s="444">
        <f t="shared" si="3"/>
        <v>1.0099999998843496</v>
      </c>
      <c r="J47" s="437"/>
      <c r="K47" s="437"/>
      <c r="L47" s="437"/>
      <c r="M47" s="437"/>
      <c r="N47" s="437"/>
      <c r="O47" s="437"/>
      <c r="P47" s="437"/>
      <c r="Q47" s="437"/>
    </row>
    <row r="48" spans="1:17">
      <c r="A48" s="470">
        <v>900</v>
      </c>
      <c r="B48" s="444">
        <f t="shared" si="3"/>
        <v>0.35438270418657236</v>
      </c>
      <c r="C48" s="444">
        <f t="shared" si="3"/>
        <v>0.98512002409688137</v>
      </c>
      <c r="D48" s="444">
        <f t="shared" si="3"/>
        <v>1.002933717591717</v>
      </c>
      <c r="E48" s="444">
        <f t="shared" si="3"/>
        <v>1.0069623223577282</v>
      </c>
      <c r="F48" s="517">
        <f t="shared" si="3"/>
        <v>1.0085911700057324</v>
      </c>
      <c r="G48" s="444">
        <f t="shared" si="3"/>
        <v>1.0099449739769419</v>
      </c>
      <c r="H48" s="444">
        <f t="shared" si="3"/>
        <v>1.0099997010980224</v>
      </c>
      <c r="I48" s="444">
        <f t="shared" si="3"/>
        <v>1.0099999999760523</v>
      </c>
      <c r="J48" s="437"/>
      <c r="K48" s="437"/>
      <c r="L48" s="437"/>
      <c r="M48" s="437"/>
      <c r="N48" s="437"/>
      <c r="O48" s="437"/>
      <c r="P48" s="437"/>
      <c r="Q48" s="437"/>
    </row>
    <row r="49" spans="1:17">
      <c r="A49" s="470">
        <v>950</v>
      </c>
      <c r="B49" s="444">
        <f t="shared" ref="B49:I51" si="4">$B$7/(1+$D$7*EXP(-((LOOKUP(B$52,$A$17:$A$20,$B$17:$B$20)*LOOKUP(B$53,$D$17:$D$21,$E$17:$E$21))+(LOOKUP(B$52,$A$17:$A$20,$B$17:$B$20)*LOOKUP($B$53,$D$17:$D$21,$E$17:$E$21)*LOOKUP(B$54,$G$17:$G$20,$H$17:$H$20)))*$A49/1000))</f>
        <v>0.39713948135489335</v>
      </c>
      <c r="C49" s="444">
        <f t="shared" si="4"/>
        <v>0.99351178736055012</v>
      </c>
      <c r="D49" s="444">
        <f t="shared" si="4"/>
        <v>1.0056628088931836</v>
      </c>
      <c r="E49" s="444">
        <f t="shared" si="4"/>
        <v>1.008223943594458</v>
      </c>
      <c r="F49" s="517">
        <f t="shared" si="4"/>
        <v>1.0092112854313484</v>
      </c>
      <c r="G49" s="444">
        <f t="shared" si="4"/>
        <v>1.0099742898656556</v>
      </c>
      <c r="H49" s="444">
        <f t="shared" si="4"/>
        <v>1.0099998954760869</v>
      </c>
      <c r="I49" s="444">
        <f t="shared" si="4"/>
        <v>1.0099999999950411</v>
      </c>
      <c r="J49" s="467"/>
      <c r="K49" s="437"/>
      <c r="L49" s="437"/>
      <c r="M49" s="437"/>
      <c r="N49" s="437"/>
      <c r="O49" s="437"/>
      <c r="P49" s="437"/>
      <c r="Q49" s="437"/>
    </row>
    <row r="50" spans="1:17">
      <c r="A50" s="470">
        <v>1000</v>
      </c>
      <c r="B50" s="444">
        <f t="shared" si="4"/>
        <v>0.44158038875321654</v>
      </c>
      <c r="C50" s="444">
        <f t="shared" si="4"/>
        <v>0.99910439942443374</v>
      </c>
      <c r="D50" s="444">
        <f t="shared" si="4"/>
        <v>1.0073406839518733</v>
      </c>
      <c r="E50" s="444">
        <f t="shared" si="4"/>
        <v>1.0089621229858876</v>
      </c>
      <c r="F50" s="517">
        <f t="shared" si="4"/>
        <v>1.0095585681951078</v>
      </c>
      <c r="G50" s="444">
        <f t="shared" si="4"/>
        <v>1.0099879874875719</v>
      </c>
      <c r="H50" s="444">
        <f t="shared" si="4"/>
        <v>1.0099999634487296</v>
      </c>
      <c r="I50" s="444">
        <f t="shared" si="4"/>
        <v>1.0099999999989731</v>
      </c>
      <c r="J50" s="467"/>
      <c r="K50" s="437"/>
      <c r="L50" s="437"/>
      <c r="M50" s="437"/>
      <c r="N50" s="437"/>
      <c r="O50" s="437"/>
      <c r="P50" s="437"/>
      <c r="Q50" s="437"/>
    </row>
    <row r="51" spans="1:17" s="427" customFormat="1">
      <c r="A51" s="471">
        <v>1250</v>
      </c>
      <c r="B51" s="444">
        <f t="shared" si="4"/>
        <v>0.66454726820451238</v>
      </c>
      <c r="C51" s="444">
        <f t="shared" si="4"/>
        <v>1.0086523393801279</v>
      </c>
      <c r="D51" s="444">
        <f t="shared" si="4"/>
        <v>1.0097709113935582</v>
      </c>
      <c r="E51" s="444">
        <f t="shared" si="4"/>
        <v>1.00992946275549</v>
      </c>
      <c r="F51" s="517">
        <f t="shared" si="4"/>
        <v>1.0099757888872853</v>
      </c>
      <c r="G51" s="444">
        <f t="shared" si="4"/>
        <v>1.0099997325411516</v>
      </c>
      <c r="H51" s="444">
        <f t="shared" si="4"/>
        <v>1.0099999998088667</v>
      </c>
      <c r="I51" s="444">
        <f t="shared" si="4"/>
        <v>1.0099999999999996</v>
      </c>
      <c r="J51" s="468"/>
      <c r="K51" s="451"/>
      <c r="L51" s="451"/>
      <c r="M51" s="451"/>
      <c r="N51" s="451"/>
      <c r="O51" s="451"/>
      <c r="P51" s="451"/>
      <c r="Q51" s="451"/>
    </row>
    <row r="52" spans="1:17">
      <c r="A52" s="446" t="s">
        <v>89</v>
      </c>
      <c r="B52" s="467">
        <v>1</v>
      </c>
      <c r="C52" s="467">
        <v>3</v>
      </c>
      <c r="D52" s="467">
        <v>2</v>
      </c>
      <c r="E52" s="467">
        <v>2</v>
      </c>
      <c r="F52" s="518">
        <v>2</v>
      </c>
      <c r="G52" s="467">
        <v>3</v>
      </c>
      <c r="H52" s="467">
        <v>3</v>
      </c>
      <c r="I52" s="467">
        <v>4</v>
      </c>
      <c r="J52"/>
      <c r="K52" s="437"/>
      <c r="L52" s="437"/>
      <c r="M52" s="437"/>
      <c r="N52" s="437"/>
      <c r="O52" s="437"/>
    </row>
    <row r="53" spans="1:17">
      <c r="A53" s="446" t="s">
        <v>71</v>
      </c>
      <c r="B53" s="467">
        <v>5</v>
      </c>
      <c r="C53" s="467">
        <v>5</v>
      </c>
      <c r="D53" s="467">
        <v>3</v>
      </c>
      <c r="E53" s="467">
        <v>3</v>
      </c>
      <c r="F53" s="518">
        <v>2</v>
      </c>
      <c r="G53" s="467">
        <v>2</v>
      </c>
      <c r="H53" s="467">
        <v>3</v>
      </c>
      <c r="I53" s="467">
        <v>4</v>
      </c>
      <c r="J53"/>
      <c r="K53" s="437"/>
      <c r="L53" s="437"/>
      <c r="M53" s="437"/>
      <c r="N53" s="437"/>
      <c r="O53" s="437"/>
    </row>
    <row r="54" spans="1:17">
      <c r="A54" s="447" t="s">
        <v>166</v>
      </c>
      <c r="B54" s="468">
        <v>1</v>
      </c>
      <c r="C54" s="468">
        <v>3</v>
      </c>
      <c r="D54" s="468">
        <v>4</v>
      </c>
      <c r="E54" s="468">
        <v>3</v>
      </c>
      <c r="F54" s="519">
        <v>2</v>
      </c>
      <c r="G54" s="468">
        <v>2</v>
      </c>
      <c r="H54" s="468">
        <v>1</v>
      </c>
      <c r="I54" s="468">
        <v>1</v>
      </c>
      <c r="J54"/>
      <c r="K54" s="454"/>
      <c r="L54" s="437"/>
      <c r="M54" s="437"/>
      <c r="N54" s="437"/>
      <c r="O54" s="437">
        <v>1</v>
      </c>
    </row>
    <row r="55" spans="1:17">
      <c r="A55" s="448" t="s">
        <v>1206</v>
      </c>
      <c r="B55" s="510" t="s">
        <v>187</v>
      </c>
      <c r="C55" s="510" t="s">
        <v>186</v>
      </c>
      <c r="D55" s="510" t="s">
        <v>190</v>
      </c>
      <c r="E55" s="510" t="s">
        <v>191</v>
      </c>
      <c r="F55" s="520" t="s">
        <v>256</v>
      </c>
      <c r="G55" s="510" t="s">
        <v>193</v>
      </c>
      <c r="H55" s="510" t="s">
        <v>195</v>
      </c>
      <c r="I55" s="510" t="s">
        <v>197</v>
      </c>
      <c r="J55"/>
      <c r="K55" s="437"/>
      <c r="L55" s="437"/>
      <c r="M55" s="437"/>
      <c r="N55" s="437"/>
      <c r="O55" s="437">
        <v>5</v>
      </c>
    </row>
    <row r="56" spans="1:17">
      <c r="A56" s="449"/>
      <c r="B56" s="510" t="s">
        <v>188</v>
      </c>
      <c r="C56" s="510" t="s">
        <v>188</v>
      </c>
      <c r="D56" s="510" t="s">
        <v>189</v>
      </c>
      <c r="E56" s="510" t="s">
        <v>189</v>
      </c>
      <c r="F56" s="520" t="s">
        <v>257</v>
      </c>
      <c r="G56" s="510" t="s">
        <v>194</v>
      </c>
      <c r="H56" s="510" t="s">
        <v>196</v>
      </c>
      <c r="I56" s="510" t="s">
        <v>198</v>
      </c>
      <c r="J56"/>
      <c r="K56" s="437"/>
      <c r="L56" s="437"/>
      <c r="M56" s="437"/>
      <c r="N56" s="437"/>
      <c r="O56" s="437">
        <v>1</v>
      </c>
    </row>
    <row r="57" spans="1:17">
      <c r="A57" s="449"/>
      <c r="B57" s="510" t="s">
        <v>1143</v>
      </c>
      <c r="C57" s="510" t="s">
        <v>1041</v>
      </c>
      <c r="D57" s="510" t="s">
        <v>1041</v>
      </c>
      <c r="E57" s="510" t="s">
        <v>1041</v>
      </c>
      <c r="F57" s="520" t="s">
        <v>192</v>
      </c>
      <c r="G57" s="510" t="s">
        <v>192</v>
      </c>
      <c r="H57" s="510" t="s">
        <v>1143</v>
      </c>
      <c r="I57" s="510" t="s">
        <v>1143</v>
      </c>
      <c r="J57"/>
      <c r="K57" s="437"/>
      <c r="L57" s="437"/>
      <c r="M57" s="437"/>
      <c r="N57" s="437"/>
      <c r="O57" s="437"/>
    </row>
    <row r="58" spans="1:17">
      <c r="A58" s="437" t="s">
        <v>1154</v>
      </c>
      <c r="B58" s="437"/>
      <c r="C58" s="437"/>
      <c r="D58" s="437"/>
      <c r="E58" s="437"/>
      <c r="F58" s="437"/>
      <c r="G58" s="437"/>
      <c r="H58" s="437"/>
      <c r="I58" s="437"/>
      <c r="J58"/>
      <c r="K58" s="437"/>
      <c r="L58" s="437"/>
      <c r="M58" s="437"/>
      <c r="N58" s="437"/>
      <c r="O58" s="437"/>
    </row>
    <row r="59" spans="1:17">
      <c r="A59" s="450"/>
      <c r="B59" s="451"/>
      <c r="C59" s="451"/>
      <c r="D59" s="451"/>
      <c r="E59" s="451"/>
      <c r="F59" s="451"/>
      <c r="G59" s="451"/>
      <c r="H59" s="451"/>
      <c r="I59" s="451"/>
      <c r="J59"/>
      <c r="K59" s="437"/>
      <c r="L59" s="437"/>
      <c r="M59" s="437"/>
      <c r="N59" s="437"/>
      <c r="O59" s="437"/>
    </row>
    <row r="60" spans="1:17">
      <c r="A60" s="449"/>
      <c r="B60" s="437"/>
      <c r="C60" s="437"/>
      <c r="D60" s="437"/>
      <c r="F60" s="437"/>
      <c r="G60" s="437"/>
      <c r="H60" s="437"/>
      <c r="I60" s="437"/>
      <c r="J60" s="437"/>
      <c r="K60" s="437"/>
      <c r="L60" s="437"/>
      <c r="M60" s="437"/>
      <c r="N60" s="437"/>
      <c r="O60" s="437"/>
    </row>
    <row r="61" spans="1:17">
      <c r="A61" s="449"/>
      <c r="B61" s="437"/>
      <c r="C61" s="437"/>
      <c r="D61" s="437"/>
      <c r="F61" s="437"/>
      <c r="G61" s="437"/>
      <c r="H61" s="452" t="s">
        <v>1188</v>
      </c>
      <c r="I61" s="437"/>
      <c r="K61" s="428"/>
      <c r="L61" s="465"/>
      <c r="M61" s="437"/>
      <c r="N61" s="437"/>
      <c r="O61" s="437"/>
    </row>
    <row r="62" spans="1:17" ht="13">
      <c r="A62" s="404" t="s">
        <v>902</v>
      </c>
      <c r="B62" s="439"/>
      <c r="C62" s="439"/>
      <c r="D62" s="439"/>
      <c r="F62" s="439"/>
      <c r="G62" s="439"/>
      <c r="H62" s="437"/>
      <c r="I62" s="453" t="s">
        <v>901</v>
      </c>
      <c r="K62" s="436"/>
      <c r="L62" s="465"/>
      <c r="M62" s="437"/>
      <c r="N62" s="437"/>
      <c r="O62" s="437"/>
    </row>
    <row r="63" spans="1:17">
      <c r="A63" s="445" t="s">
        <v>1087</v>
      </c>
      <c r="B63" s="445" t="s">
        <v>906</v>
      </c>
      <c r="C63" s="445" t="s">
        <v>1088</v>
      </c>
      <c r="D63" s="445" t="s">
        <v>893</v>
      </c>
      <c r="E63" s="445" t="s">
        <v>894</v>
      </c>
      <c r="F63" s="445" t="s">
        <v>1089</v>
      </c>
      <c r="G63" s="475" t="s">
        <v>892</v>
      </c>
      <c r="H63" s="451"/>
      <c r="I63" s="455" t="s">
        <v>870</v>
      </c>
      <c r="J63" s="456" t="s">
        <v>900</v>
      </c>
      <c r="K63" s="436"/>
      <c r="L63" s="465"/>
      <c r="M63" s="437"/>
      <c r="N63" s="437"/>
      <c r="O63" s="437"/>
    </row>
    <row r="64" spans="1:17">
      <c r="A64" s="457">
        <v>1</v>
      </c>
      <c r="B64" s="457">
        <v>1</v>
      </c>
      <c r="C64" s="457">
        <v>1</v>
      </c>
      <c r="D64" s="457">
        <f>IF(A64=1,0.9,IF(A64=2,2.9,IF(A64=3,3.8,5.8)))</f>
        <v>0.9</v>
      </c>
      <c r="E64" s="474">
        <f>IF(B64=1,4,IF(B64=2,2.9,IF(B64=3,2.8,IF(B64=4,2.7,1.3))))</f>
        <v>4</v>
      </c>
      <c r="F64" s="473">
        <f>IF(C64=1,2.1,IF(C64=2,0.85,IF(C64=3,0.7,0.45)))</f>
        <v>2.1</v>
      </c>
      <c r="G64" s="472">
        <f>(D64*E64)+(D64*E64*F64)</f>
        <v>11.16</v>
      </c>
      <c r="H64" s="437" t="s">
        <v>1026</v>
      </c>
      <c r="I64" s="458">
        <v>200</v>
      </c>
      <c r="J64" s="459">
        <f>$B$7/(1+$D$7*EXP(-G64*I64/1000))</f>
        <v>0.16306161469722893</v>
      </c>
      <c r="K64" s="436"/>
      <c r="L64" s="465"/>
      <c r="M64" s="437"/>
      <c r="N64" s="437"/>
      <c r="O64" s="437"/>
    </row>
    <row r="65" spans="1:15">
      <c r="A65" s="457">
        <v>1</v>
      </c>
      <c r="B65" s="457">
        <v>1</v>
      </c>
      <c r="C65" s="457">
        <v>2</v>
      </c>
      <c r="D65" s="457">
        <f t="shared" ref="D65:D128" si="5">IF(A65=1,0.9,IF(A65=2,2.9,IF(A65=3,3.8,5.8)))</f>
        <v>0.9</v>
      </c>
      <c r="E65" s="474">
        <f t="shared" ref="E65:E128" si="6">IF(B65=1,4,IF(B65=2,2.9,IF(B65=3,2.8,IF(B65=4,2.7,1.3))))</f>
        <v>4</v>
      </c>
      <c r="F65" s="473">
        <f t="shared" ref="F65:F128" si="7">IF(C65=1,2.1,IF(C65=2,0.85,IF(C65=3,0.7,0.45)))</f>
        <v>0.85</v>
      </c>
      <c r="G65" s="472">
        <f t="shared" ref="G65:G128" si="8">(D65*E65)+(D65*E65*F65)</f>
        <v>6.66</v>
      </c>
      <c r="H65" s="437"/>
      <c r="I65" s="458">
        <v>200</v>
      </c>
      <c r="J65" s="459">
        <f t="shared" ref="J65:J128" si="9">$B$7/(1+$D$7*EXP(-G65*I65/1000))</f>
        <v>7.3320576058390569E-2</v>
      </c>
      <c r="K65" s="436"/>
      <c r="L65" s="466"/>
      <c r="M65" s="437"/>
      <c r="N65" s="437"/>
      <c r="O65" s="437"/>
    </row>
    <row r="66" spans="1:15">
      <c r="A66" s="457">
        <v>1</v>
      </c>
      <c r="B66" s="457">
        <v>1</v>
      </c>
      <c r="C66" s="457">
        <v>3</v>
      </c>
      <c r="D66" s="457">
        <f t="shared" si="5"/>
        <v>0.9</v>
      </c>
      <c r="E66" s="474">
        <f t="shared" si="6"/>
        <v>4</v>
      </c>
      <c r="F66" s="473">
        <f t="shared" si="7"/>
        <v>0.7</v>
      </c>
      <c r="G66" s="472">
        <f t="shared" si="8"/>
        <v>6.12</v>
      </c>
      <c r="H66" s="437"/>
      <c r="I66" s="458">
        <v>200</v>
      </c>
      <c r="J66" s="459">
        <f t="shared" si="9"/>
        <v>6.6307347893954857E-2</v>
      </c>
      <c r="K66" s="437"/>
      <c r="L66" s="437"/>
      <c r="M66" s="437"/>
      <c r="N66" s="437"/>
      <c r="O66" s="437"/>
    </row>
    <row r="67" spans="1:15">
      <c r="A67" s="457">
        <v>1</v>
      </c>
      <c r="B67" s="457">
        <v>1</v>
      </c>
      <c r="C67" s="457">
        <v>4</v>
      </c>
      <c r="D67" s="457">
        <f t="shared" si="5"/>
        <v>0.9</v>
      </c>
      <c r="E67" s="474">
        <f t="shared" si="6"/>
        <v>4</v>
      </c>
      <c r="F67" s="473">
        <f t="shared" si="7"/>
        <v>0.45</v>
      </c>
      <c r="G67" s="472">
        <f t="shared" si="8"/>
        <v>5.2200000000000006</v>
      </c>
      <c r="H67" s="437"/>
      <c r="I67" s="458">
        <v>200</v>
      </c>
      <c r="J67" s="459">
        <f t="shared" si="9"/>
        <v>5.5990065393255309E-2</v>
      </c>
      <c r="K67" s="437"/>
      <c r="L67" s="437"/>
      <c r="M67" s="437"/>
      <c r="N67" s="437"/>
      <c r="O67" s="437"/>
    </row>
    <row r="68" spans="1:15">
      <c r="A68" s="457">
        <v>1</v>
      </c>
      <c r="B68" s="457">
        <v>2</v>
      </c>
      <c r="C68" s="457">
        <v>1</v>
      </c>
      <c r="D68" s="457">
        <f t="shared" si="5"/>
        <v>0.9</v>
      </c>
      <c r="E68" s="474">
        <f t="shared" si="6"/>
        <v>2.9</v>
      </c>
      <c r="F68" s="473">
        <f t="shared" si="7"/>
        <v>2.1</v>
      </c>
      <c r="G68" s="472">
        <f t="shared" si="8"/>
        <v>8.0909999999999993</v>
      </c>
      <c r="H68" s="437"/>
      <c r="I68" s="458">
        <v>200</v>
      </c>
      <c r="J68" s="459">
        <f t="shared" si="9"/>
        <v>9.5323005101792313E-2</v>
      </c>
      <c r="K68" s="437"/>
      <c r="L68" s="437"/>
      <c r="M68" s="437"/>
      <c r="N68" s="437"/>
      <c r="O68" s="437"/>
    </row>
    <row r="69" spans="1:15">
      <c r="A69" s="457">
        <v>1</v>
      </c>
      <c r="B69" s="457">
        <v>2</v>
      </c>
      <c r="C69" s="457">
        <v>2</v>
      </c>
      <c r="D69" s="457">
        <f t="shared" si="5"/>
        <v>0.9</v>
      </c>
      <c r="E69" s="474">
        <f t="shared" si="6"/>
        <v>2.9</v>
      </c>
      <c r="F69" s="473">
        <f t="shared" si="7"/>
        <v>0.85</v>
      </c>
      <c r="G69" s="472">
        <f t="shared" si="8"/>
        <v>4.8285</v>
      </c>
      <c r="H69" s="437"/>
      <c r="I69" s="458">
        <v>200</v>
      </c>
      <c r="J69" s="459">
        <f t="shared" si="9"/>
        <v>5.1990345701269584E-2</v>
      </c>
      <c r="K69" s="437"/>
      <c r="L69" s="437"/>
      <c r="M69" s="437"/>
      <c r="N69" s="437"/>
      <c r="O69" s="437"/>
    </row>
    <row r="70" spans="1:15">
      <c r="A70" s="457">
        <v>1</v>
      </c>
      <c r="B70" s="457">
        <v>2</v>
      </c>
      <c r="C70" s="457">
        <v>3</v>
      </c>
      <c r="D70" s="457">
        <f t="shared" si="5"/>
        <v>0.9</v>
      </c>
      <c r="E70" s="474">
        <f t="shared" si="6"/>
        <v>2.9</v>
      </c>
      <c r="F70" s="473">
        <f t="shared" si="7"/>
        <v>0.7</v>
      </c>
      <c r="G70" s="472">
        <f t="shared" si="8"/>
        <v>4.4369999999999994</v>
      </c>
      <c r="H70" s="437"/>
      <c r="I70" s="458">
        <v>200</v>
      </c>
      <c r="J70" s="459">
        <f t="shared" si="9"/>
        <v>4.8261896555834682E-2</v>
      </c>
      <c r="K70" s="437"/>
      <c r="L70" s="437"/>
      <c r="M70" s="437"/>
      <c r="N70" s="437"/>
      <c r="O70" s="437"/>
    </row>
    <row r="71" spans="1:15">
      <c r="A71" s="457">
        <v>1</v>
      </c>
      <c r="B71" s="457">
        <v>2</v>
      </c>
      <c r="C71" s="457">
        <v>4</v>
      </c>
      <c r="D71" s="457">
        <f t="shared" si="5"/>
        <v>0.9</v>
      </c>
      <c r="E71" s="474">
        <f t="shared" si="6"/>
        <v>2.9</v>
      </c>
      <c r="F71" s="473">
        <f t="shared" si="7"/>
        <v>0.45</v>
      </c>
      <c r="G71" s="472">
        <f t="shared" si="8"/>
        <v>3.7844999999999995</v>
      </c>
      <c r="H71" s="437"/>
      <c r="I71" s="458">
        <v>200</v>
      </c>
      <c r="J71" s="459">
        <f t="shared" si="9"/>
        <v>4.2606447103505689E-2</v>
      </c>
      <c r="K71" s="437"/>
      <c r="L71" s="437"/>
      <c r="M71" s="437"/>
      <c r="N71" s="437"/>
      <c r="O71" s="437"/>
    </row>
    <row r="72" spans="1:15">
      <c r="A72" s="457">
        <v>1</v>
      </c>
      <c r="B72" s="457">
        <v>3</v>
      </c>
      <c r="C72" s="457">
        <v>1</v>
      </c>
      <c r="D72" s="457">
        <f t="shared" si="5"/>
        <v>0.9</v>
      </c>
      <c r="E72" s="474">
        <f t="shared" si="6"/>
        <v>2.8</v>
      </c>
      <c r="F72" s="473">
        <f t="shared" si="7"/>
        <v>2.1</v>
      </c>
      <c r="G72" s="472">
        <f t="shared" si="8"/>
        <v>7.8120000000000012</v>
      </c>
      <c r="H72" s="437"/>
      <c r="I72" s="458">
        <v>200</v>
      </c>
      <c r="J72" s="459">
        <f t="shared" si="9"/>
        <v>9.0613795085371915E-2</v>
      </c>
      <c r="K72" s="437"/>
      <c r="L72" s="437"/>
      <c r="M72" s="437"/>
      <c r="N72" s="437"/>
      <c r="O72" s="437"/>
    </row>
    <row r="73" spans="1:15">
      <c r="A73" s="457">
        <v>1</v>
      </c>
      <c r="B73" s="457">
        <v>3</v>
      </c>
      <c r="C73" s="457">
        <v>2</v>
      </c>
      <c r="D73" s="457">
        <f t="shared" si="5"/>
        <v>0.9</v>
      </c>
      <c r="E73" s="474">
        <f t="shared" si="6"/>
        <v>2.8</v>
      </c>
      <c r="F73" s="473">
        <f t="shared" si="7"/>
        <v>0.85</v>
      </c>
      <c r="G73" s="472">
        <f t="shared" si="8"/>
        <v>4.6619999999999999</v>
      </c>
      <c r="H73" s="437"/>
      <c r="I73" s="458">
        <v>200</v>
      </c>
      <c r="J73" s="459">
        <f t="shared" si="9"/>
        <v>5.0372499203730901E-2</v>
      </c>
      <c r="K73" s="437"/>
      <c r="L73" s="437"/>
      <c r="M73" s="437"/>
      <c r="N73" s="437"/>
      <c r="O73" s="437"/>
    </row>
    <row r="74" spans="1:15">
      <c r="A74" s="457">
        <v>1</v>
      </c>
      <c r="B74" s="457">
        <v>3</v>
      </c>
      <c r="C74" s="457">
        <v>3</v>
      </c>
      <c r="D74" s="457">
        <f t="shared" si="5"/>
        <v>0.9</v>
      </c>
      <c r="E74" s="474">
        <f t="shared" si="6"/>
        <v>2.8</v>
      </c>
      <c r="F74" s="473">
        <f t="shared" si="7"/>
        <v>0.7</v>
      </c>
      <c r="G74" s="472">
        <f t="shared" si="8"/>
        <v>4.2839999999999998</v>
      </c>
      <c r="H74" s="437"/>
      <c r="I74" s="458">
        <v>200</v>
      </c>
      <c r="J74" s="459">
        <f t="shared" si="9"/>
        <v>4.6874951190918134E-2</v>
      </c>
      <c r="K74" s="437"/>
      <c r="L74" s="437"/>
      <c r="M74" s="437"/>
      <c r="N74" s="437"/>
      <c r="O74" s="437"/>
    </row>
    <row r="75" spans="1:15">
      <c r="A75" s="457">
        <v>1</v>
      </c>
      <c r="B75" s="457">
        <v>3</v>
      </c>
      <c r="C75" s="457">
        <v>4</v>
      </c>
      <c r="D75" s="457">
        <f t="shared" si="5"/>
        <v>0.9</v>
      </c>
      <c r="E75" s="474">
        <f t="shared" si="6"/>
        <v>2.8</v>
      </c>
      <c r="F75" s="473">
        <f t="shared" si="7"/>
        <v>0.45</v>
      </c>
      <c r="G75" s="472">
        <f t="shared" si="8"/>
        <v>3.6539999999999999</v>
      </c>
      <c r="H75" s="437"/>
      <c r="I75" s="458">
        <v>200</v>
      </c>
      <c r="J75" s="459">
        <f t="shared" si="9"/>
        <v>4.1553965137122735E-2</v>
      </c>
      <c r="K75" s="437"/>
      <c r="L75" s="437"/>
      <c r="M75" s="437"/>
      <c r="N75" s="437"/>
      <c r="O75" s="437"/>
    </row>
    <row r="76" spans="1:15">
      <c r="A76" s="457">
        <v>1</v>
      </c>
      <c r="B76" s="457">
        <v>4</v>
      </c>
      <c r="C76" s="457">
        <v>1</v>
      </c>
      <c r="D76" s="457">
        <f t="shared" si="5"/>
        <v>0.9</v>
      </c>
      <c r="E76" s="474">
        <f t="shared" si="6"/>
        <v>2.7</v>
      </c>
      <c r="F76" s="473">
        <f t="shared" si="7"/>
        <v>2.1</v>
      </c>
      <c r="G76" s="472">
        <f t="shared" si="8"/>
        <v>7.5330000000000013</v>
      </c>
      <c r="H76" s="437"/>
      <c r="I76" s="458">
        <v>200</v>
      </c>
      <c r="J76" s="459">
        <f t="shared" si="9"/>
        <v>8.6115329192281959E-2</v>
      </c>
      <c r="K76" s="437"/>
      <c r="L76" s="437"/>
      <c r="M76" s="437"/>
      <c r="N76" s="437"/>
      <c r="O76" s="437"/>
    </row>
    <row r="77" spans="1:15">
      <c r="A77" s="457">
        <v>1</v>
      </c>
      <c r="B77" s="457">
        <v>4</v>
      </c>
      <c r="C77" s="457">
        <v>2</v>
      </c>
      <c r="D77" s="457">
        <f t="shared" si="5"/>
        <v>0.9</v>
      </c>
      <c r="E77" s="474">
        <f t="shared" si="6"/>
        <v>2.7</v>
      </c>
      <c r="F77" s="473">
        <f t="shared" si="7"/>
        <v>0.85</v>
      </c>
      <c r="G77" s="472">
        <f t="shared" si="8"/>
        <v>4.4954999999999998</v>
      </c>
      <c r="H77" s="437"/>
      <c r="I77" s="458">
        <v>200</v>
      </c>
      <c r="J77" s="459">
        <f t="shared" si="9"/>
        <v>4.8802432570476104E-2</v>
      </c>
      <c r="K77" s="437"/>
      <c r="L77" s="437"/>
      <c r="M77" s="437"/>
      <c r="N77" s="437"/>
      <c r="O77" s="437"/>
    </row>
    <row r="78" spans="1:15">
      <c r="A78" s="457">
        <v>1</v>
      </c>
      <c r="B78" s="457">
        <v>4</v>
      </c>
      <c r="C78" s="457">
        <v>3</v>
      </c>
      <c r="D78" s="457">
        <f t="shared" si="5"/>
        <v>0.9</v>
      </c>
      <c r="E78" s="474">
        <f t="shared" si="6"/>
        <v>2.7</v>
      </c>
      <c r="F78" s="473">
        <f t="shared" si="7"/>
        <v>0.7</v>
      </c>
      <c r="G78" s="472">
        <f t="shared" si="8"/>
        <v>4.1310000000000002</v>
      </c>
      <c r="H78" s="437"/>
      <c r="I78" s="458">
        <v>200</v>
      </c>
      <c r="J78" s="459">
        <f t="shared" si="9"/>
        <v>4.5525976957189962E-2</v>
      </c>
      <c r="K78" s="437"/>
      <c r="L78" s="437"/>
      <c r="M78" s="437"/>
      <c r="N78" s="437"/>
      <c r="O78" s="437"/>
    </row>
    <row r="79" spans="1:15">
      <c r="A79" s="457">
        <v>1</v>
      </c>
      <c r="B79" s="457">
        <v>4</v>
      </c>
      <c r="C79" s="457">
        <v>4</v>
      </c>
      <c r="D79" s="457">
        <f t="shared" si="5"/>
        <v>0.9</v>
      </c>
      <c r="E79" s="474">
        <f t="shared" si="6"/>
        <v>2.7</v>
      </c>
      <c r="F79" s="473">
        <f t="shared" si="7"/>
        <v>0.45</v>
      </c>
      <c r="G79" s="472">
        <f t="shared" si="8"/>
        <v>3.5235000000000003</v>
      </c>
      <c r="H79" s="437"/>
      <c r="I79" s="458">
        <v>200</v>
      </c>
      <c r="J79" s="459">
        <f t="shared" si="9"/>
        <v>4.0526392860126118E-2</v>
      </c>
      <c r="K79" s="437"/>
      <c r="L79" s="437"/>
      <c r="M79" s="437"/>
      <c r="N79" s="437"/>
      <c r="O79" s="437"/>
    </row>
    <row r="80" spans="1:15">
      <c r="A80" s="457">
        <v>1</v>
      </c>
      <c r="B80" s="457">
        <v>5</v>
      </c>
      <c r="C80" s="457">
        <v>1</v>
      </c>
      <c r="D80" s="457">
        <f t="shared" si="5"/>
        <v>0.9</v>
      </c>
      <c r="E80" s="474">
        <f t="shared" si="6"/>
        <v>1.3</v>
      </c>
      <c r="F80" s="473">
        <f t="shared" si="7"/>
        <v>2.1</v>
      </c>
      <c r="G80" s="472">
        <f t="shared" si="8"/>
        <v>3.6270000000000007</v>
      </c>
      <c r="H80" s="437"/>
      <c r="I80" s="458">
        <v>200</v>
      </c>
      <c r="J80" s="459">
        <f t="shared" si="9"/>
        <v>4.1339338088900682E-2</v>
      </c>
      <c r="K80" s="437"/>
      <c r="L80" s="437"/>
      <c r="M80" s="437"/>
      <c r="N80" s="437"/>
      <c r="O80" s="437"/>
    </row>
    <row r="81" spans="1:15">
      <c r="A81" s="457">
        <v>1</v>
      </c>
      <c r="B81" s="457">
        <v>5</v>
      </c>
      <c r="C81" s="457">
        <v>2</v>
      </c>
      <c r="D81" s="457">
        <f t="shared" si="5"/>
        <v>0.9</v>
      </c>
      <c r="E81" s="474">
        <f t="shared" si="6"/>
        <v>1.3</v>
      </c>
      <c r="F81" s="473">
        <f t="shared" si="7"/>
        <v>0.85</v>
      </c>
      <c r="G81" s="472">
        <f t="shared" si="8"/>
        <v>2.1645000000000003</v>
      </c>
      <c r="H81" s="437"/>
      <c r="I81" s="458">
        <v>200</v>
      </c>
      <c r="J81" s="459">
        <f t="shared" si="9"/>
        <v>3.1179126340974771E-2</v>
      </c>
      <c r="K81" s="437"/>
      <c r="L81" s="437"/>
      <c r="M81" s="437"/>
      <c r="N81" s="437"/>
      <c r="O81" s="437"/>
    </row>
    <row r="82" spans="1:15">
      <c r="A82" s="457">
        <v>1</v>
      </c>
      <c r="B82" s="457">
        <v>5</v>
      </c>
      <c r="C82" s="457">
        <v>3</v>
      </c>
      <c r="D82" s="457">
        <f t="shared" si="5"/>
        <v>0.9</v>
      </c>
      <c r="E82" s="474">
        <f t="shared" si="6"/>
        <v>1.3</v>
      </c>
      <c r="F82" s="473">
        <f t="shared" si="7"/>
        <v>0.7</v>
      </c>
      <c r="G82" s="472">
        <f t="shared" si="8"/>
        <v>1.9890000000000003</v>
      </c>
      <c r="H82" s="437"/>
      <c r="I82" s="458">
        <v>200</v>
      </c>
      <c r="J82" s="459">
        <f t="shared" si="9"/>
        <v>3.0135810031808985E-2</v>
      </c>
      <c r="K82" s="437"/>
      <c r="L82" s="437"/>
      <c r="M82" s="437"/>
      <c r="N82" s="437"/>
      <c r="O82" s="437"/>
    </row>
    <row r="83" spans="1:15">
      <c r="A83" s="457">
        <v>1</v>
      </c>
      <c r="B83" s="457">
        <v>5</v>
      </c>
      <c r="C83" s="457">
        <v>4</v>
      </c>
      <c r="D83" s="457">
        <f t="shared" si="5"/>
        <v>0.9</v>
      </c>
      <c r="E83" s="474">
        <f t="shared" si="6"/>
        <v>1.3</v>
      </c>
      <c r="F83" s="473">
        <f t="shared" si="7"/>
        <v>0.45</v>
      </c>
      <c r="G83" s="472">
        <f t="shared" si="8"/>
        <v>1.6965000000000003</v>
      </c>
      <c r="H83" s="437"/>
      <c r="I83" s="458">
        <v>200</v>
      </c>
      <c r="J83" s="459">
        <f t="shared" si="9"/>
        <v>2.8471711662847229E-2</v>
      </c>
      <c r="K83" s="437"/>
      <c r="L83" s="437"/>
      <c r="M83" s="437"/>
      <c r="N83" s="437"/>
      <c r="O83" s="437"/>
    </row>
    <row r="84" spans="1:15">
      <c r="A84" s="457">
        <v>2</v>
      </c>
      <c r="B84" s="457">
        <v>1</v>
      </c>
      <c r="C84" s="457">
        <v>1</v>
      </c>
      <c r="D84" s="457">
        <f t="shared" si="5"/>
        <v>2.9</v>
      </c>
      <c r="E84" s="474">
        <f t="shared" si="6"/>
        <v>4</v>
      </c>
      <c r="F84" s="473">
        <f t="shared" si="7"/>
        <v>2.1</v>
      </c>
      <c r="G84" s="472">
        <f t="shared" si="8"/>
        <v>35.96</v>
      </c>
      <c r="H84" s="437"/>
      <c r="I84" s="458">
        <v>200</v>
      </c>
      <c r="J84" s="459">
        <f t="shared" si="9"/>
        <v>0.97450371151497306</v>
      </c>
      <c r="K84" s="437"/>
      <c r="L84" s="437"/>
      <c r="M84" s="437"/>
      <c r="N84" s="437"/>
      <c r="O84" s="437"/>
    </row>
    <row r="85" spans="1:15">
      <c r="A85" s="457">
        <v>2</v>
      </c>
      <c r="B85" s="457">
        <v>1</v>
      </c>
      <c r="C85" s="457">
        <v>2</v>
      </c>
      <c r="D85" s="457">
        <f t="shared" si="5"/>
        <v>2.9</v>
      </c>
      <c r="E85" s="474">
        <f t="shared" si="6"/>
        <v>4</v>
      </c>
      <c r="F85" s="473">
        <f t="shared" si="7"/>
        <v>0.85</v>
      </c>
      <c r="G85" s="472">
        <f t="shared" si="8"/>
        <v>21.46</v>
      </c>
      <c r="H85" s="437"/>
      <c r="I85" s="458">
        <v>200</v>
      </c>
      <c r="J85" s="459">
        <f t="shared" si="9"/>
        <v>0.60770409707430884</v>
      </c>
      <c r="K85" s="437"/>
      <c r="L85" s="437"/>
      <c r="M85" s="437"/>
      <c r="N85" s="437"/>
      <c r="O85" s="437"/>
    </row>
    <row r="86" spans="1:15">
      <c r="A86" s="457">
        <v>2</v>
      </c>
      <c r="B86" s="457">
        <v>1</v>
      </c>
      <c r="C86" s="457">
        <v>3</v>
      </c>
      <c r="D86" s="457">
        <f t="shared" si="5"/>
        <v>2.9</v>
      </c>
      <c r="E86" s="474">
        <f t="shared" si="6"/>
        <v>4</v>
      </c>
      <c r="F86" s="473">
        <f t="shared" si="7"/>
        <v>0.7</v>
      </c>
      <c r="G86" s="472">
        <f t="shared" si="8"/>
        <v>19.72</v>
      </c>
      <c r="H86" s="437"/>
      <c r="I86" s="458">
        <v>200</v>
      </c>
      <c r="J86" s="459">
        <f t="shared" si="9"/>
        <v>0.52128065309485272</v>
      </c>
      <c r="K86" s="437"/>
      <c r="L86" s="437"/>
      <c r="M86" s="437"/>
      <c r="N86" s="437"/>
      <c r="O86" s="437"/>
    </row>
    <row r="87" spans="1:15">
      <c r="A87" s="457">
        <v>2</v>
      </c>
      <c r="B87" s="457">
        <v>1</v>
      </c>
      <c r="C87" s="457">
        <v>4</v>
      </c>
      <c r="D87" s="457">
        <f t="shared" si="5"/>
        <v>2.9</v>
      </c>
      <c r="E87" s="474">
        <f t="shared" si="6"/>
        <v>4</v>
      </c>
      <c r="F87" s="473">
        <f t="shared" si="7"/>
        <v>0.45</v>
      </c>
      <c r="G87" s="472">
        <f t="shared" si="8"/>
        <v>16.82</v>
      </c>
      <c r="H87" s="437"/>
      <c r="I87" s="458">
        <v>200</v>
      </c>
      <c r="J87" s="459">
        <f t="shared" si="9"/>
        <v>0.3776441797113072</v>
      </c>
      <c r="K87" s="437"/>
      <c r="L87" s="437"/>
      <c r="M87" s="437"/>
      <c r="N87" s="437"/>
      <c r="O87" s="437"/>
    </row>
    <row r="88" spans="1:15">
      <c r="A88" s="457">
        <v>2</v>
      </c>
      <c r="B88" s="457">
        <v>2</v>
      </c>
      <c r="C88" s="457">
        <v>1</v>
      </c>
      <c r="D88" s="457">
        <f t="shared" si="5"/>
        <v>2.9</v>
      </c>
      <c r="E88" s="474">
        <f t="shared" si="6"/>
        <v>2.9</v>
      </c>
      <c r="F88" s="473">
        <f t="shared" si="7"/>
        <v>2.1</v>
      </c>
      <c r="G88" s="472">
        <f t="shared" si="8"/>
        <v>26.071000000000002</v>
      </c>
      <c r="H88" s="437"/>
      <c r="I88" s="458">
        <v>200</v>
      </c>
      <c r="J88" s="459">
        <f t="shared" si="9"/>
        <v>0.79953320831050745</v>
      </c>
      <c r="K88" s="437"/>
      <c r="L88" s="437"/>
      <c r="M88" s="437"/>
      <c r="N88" s="437"/>
      <c r="O88" s="437"/>
    </row>
    <row r="89" spans="1:15">
      <c r="A89" s="457">
        <v>2</v>
      </c>
      <c r="B89" s="457">
        <v>2</v>
      </c>
      <c r="C89" s="457">
        <v>2</v>
      </c>
      <c r="D89" s="457">
        <f t="shared" si="5"/>
        <v>2.9</v>
      </c>
      <c r="E89" s="474">
        <f t="shared" si="6"/>
        <v>2.9</v>
      </c>
      <c r="F89" s="473">
        <f t="shared" si="7"/>
        <v>0.85</v>
      </c>
      <c r="G89" s="472">
        <f t="shared" si="8"/>
        <v>15.5585</v>
      </c>
      <c r="H89" s="437"/>
      <c r="I89" s="458">
        <v>200</v>
      </c>
      <c r="J89" s="459">
        <f t="shared" si="9"/>
        <v>0.32012479522908671</v>
      </c>
      <c r="K89" s="437"/>
      <c r="L89" s="437"/>
      <c r="M89" s="437"/>
      <c r="N89" s="437"/>
      <c r="O89" s="437"/>
    </row>
    <row r="90" spans="1:15">
      <c r="A90" s="457">
        <v>2</v>
      </c>
      <c r="B90" s="457">
        <v>2</v>
      </c>
      <c r="C90" s="457">
        <v>3</v>
      </c>
      <c r="D90" s="457">
        <f t="shared" si="5"/>
        <v>2.9</v>
      </c>
      <c r="E90" s="474">
        <f t="shared" si="6"/>
        <v>2.9</v>
      </c>
      <c r="F90" s="473">
        <f t="shared" si="7"/>
        <v>0.7</v>
      </c>
      <c r="G90" s="472">
        <f t="shared" si="8"/>
        <v>14.297000000000001</v>
      </c>
      <c r="H90" s="437"/>
      <c r="I90" s="458">
        <v>200</v>
      </c>
      <c r="J90" s="459">
        <f t="shared" si="9"/>
        <v>0.26765803807117644</v>
      </c>
      <c r="K90" s="437"/>
      <c r="L90" s="437"/>
      <c r="M90" s="437"/>
      <c r="N90" s="437"/>
      <c r="O90" s="437"/>
    </row>
    <row r="91" spans="1:15">
      <c r="A91" s="457">
        <v>2</v>
      </c>
      <c r="B91" s="457">
        <v>2</v>
      </c>
      <c r="C91" s="457">
        <v>4</v>
      </c>
      <c r="D91" s="457">
        <f t="shared" si="5"/>
        <v>2.9</v>
      </c>
      <c r="E91" s="474">
        <f t="shared" si="6"/>
        <v>2.9</v>
      </c>
      <c r="F91" s="473">
        <f t="shared" si="7"/>
        <v>0.45</v>
      </c>
      <c r="G91" s="472">
        <f t="shared" si="8"/>
        <v>12.1945</v>
      </c>
      <c r="H91" s="437"/>
      <c r="I91" s="458">
        <v>200</v>
      </c>
      <c r="J91" s="459">
        <f t="shared" si="9"/>
        <v>0.19336700596702153</v>
      </c>
      <c r="K91" s="437"/>
      <c r="L91" s="437"/>
      <c r="M91" s="437"/>
      <c r="N91" s="437"/>
      <c r="O91" s="437"/>
    </row>
    <row r="92" spans="1:15">
      <c r="A92" s="457">
        <v>2</v>
      </c>
      <c r="B92" s="457">
        <v>3</v>
      </c>
      <c r="C92" s="457">
        <v>1</v>
      </c>
      <c r="D92" s="457">
        <f t="shared" si="5"/>
        <v>2.9</v>
      </c>
      <c r="E92" s="474">
        <f t="shared" si="6"/>
        <v>2.8</v>
      </c>
      <c r="F92" s="473">
        <f t="shared" si="7"/>
        <v>2.1</v>
      </c>
      <c r="G92" s="472">
        <f t="shared" si="8"/>
        <v>25.171999999999997</v>
      </c>
      <c r="H92" s="437"/>
      <c r="I92" s="458">
        <v>200</v>
      </c>
      <c r="J92" s="459">
        <f t="shared" si="9"/>
        <v>0.76800886564071158</v>
      </c>
      <c r="K92" s="437"/>
      <c r="L92" s="437"/>
      <c r="M92" s="437"/>
      <c r="N92" s="437"/>
      <c r="O92" s="437"/>
    </row>
    <row r="93" spans="1:15">
      <c r="A93" s="457">
        <v>2</v>
      </c>
      <c r="B93" s="457">
        <v>3</v>
      </c>
      <c r="C93" s="457">
        <v>2</v>
      </c>
      <c r="D93" s="457">
        <f t="shared" si="5"/>
        <v>2.9</v>
      </c>
      <c r="E93" s="474">
        <f t="shared" si="6"/>
        <v>2.8</v>
      </c>
      <c r="F93" s="473">
        <f t="shared" si="7"/>
        <v>0.85</v>
      </c>
      <c r="G93" s="472">
        <f t="shared" si="8"/>
        <v>15.021999999999998</v>
      </c>
      <c r="H93" s="437"/>
      <c r="I93" s="458">
        <v>200</v>
      </c>
      <c r="J93" s="459">
        <f t="shared" si="9"/>
        <v>0.29713618847764217</v>
      </c>
      <c r="K93" s="437"/>
      <c r="L93" s="437"/>
      <c r="M93" s="437"/>
      <c r="N93" s="437"/>
      <c r="O93" s="437"/>
    </row>
    <row r="94" spans="1:15">
      <c r="A94" s="457">
        <v>2</v>
      </c>
      <c r="B94" s="457">
        <v>3</v>
      </c>
      <c r="C94" s="457">
        <v>3</v>
      </c>
      <c r="D94" s="457">
        <f t="shared" si="5"/>
        <v>2.9</v>
      </c>
      <c r="E94" s="474">
        <f t="shared" si="6"/>
        <v>2.8</v>
      </c>
      <c r="F94" s="473">
        <f t="shared" si="7"/>
        <v>0.7</v>
      </c>
      <c r="G94" s="472">
        <f t="shared" si="8"/>
        <v>13.803999999999998</v>
      </c>
      <c r="H94" s="437"/>
      <c r="I94" s="458">
        <v>200</v>
      </c>
      <c r="J94" s="459">
        <f t="shared" si="9"/>
        <v>0.24871505973390759</v>
      </c>
      <c r="K94" s="437"/>
      <c r="L94" s="437"/>
      <c r="M94" s="437"/>
      <c r="N94" s="437"/>
      <c r="O94" s="437"/>
    </row>
    <row r="95" spans="1:15">
      <c r="A95" s="457">
        <v>2</v>
      </c>
      <c r="B95" s="457">
        <v>3</v>
      </c>
      <c r="C95" s="457">
        <v>4</v>
      </c>
      <c r="D95" s="457">
        <f t="shared" si="5"/>
        <v>2.9</v>
      </c>
      <c r="E95" s="474">
        <f t="shared" si="6"/>
        <v>2.8</v>
      </c>
      <c r="F95" s="473">
        <f t="shared" si="7"/>
        <v>0.45</v>
      </c>
      <c r="G95" s="472">
        <f t="shared" si="8"/>
        <v>11.773999999999999</v>
      </c>
      <c r="H95" s="437"/>
      <c r="I95" s="458">
        <v>200</v>
      </c>
      <c r="J95" s="459">
        <f t="shared" si="9"/>
        <v>0.18055819513991533</v>
      </c>
      <c r="K95" s="437"/>
      <c r="L95" s="437"/>
      <c r="M95" s="437"/>
      <c r="N95" s="437"/>
      <c r="O95" s="437"/>
    </row>
    <row r="96" spans="1:15">
      <c r="A96" s="457">
        <v>2</v>
      </c>
      <c r="B96" s="457">
        <v>4</v>
      </c>
      <c r="C96" s="457">
        <v>1</v>
      </c>
      <c r="D96" s="457">
        <f t="shared" si="5"/>
        <v>2.9</v>
      </c>
      <c r="E96" s="474">
        <f t="shared" si="6"/>
        <v>2.7</v>
      </c>
      <c r="F96" s="473">
        <f t="shared" si="7"/>
        <v>2.1</v>
      </c>
      <c r="G96" s="472">
        <f t="shared" si="8"/>
        <v>24.273000000000003</v>
      </c>
      <c r="H96" s="437"/>
      <c r="I96" s="458">
        <v>200</v>
      </c>
      <c r="J96" s="459">
        <f t="shared" si="9"/>
        <v>0.73339625410686926</v>
      </c>
      <c r="K96" s="437"/>
      <c r="L96" s="437"/>
      <c r="M96" s="437"/>
      <c r="N96" s="437"/>
      <c r="O96" s="437"/>
    </row>
    <row r="97" spans="1:15">
      <c r="A97" s="457">
        <v>2</v>
      </c>
      <c r="B97" s="457">
        <v>4</v>
      </c>
      <c r="C97" s="457">
        <v>2</v>
      </c>
      <c r="D97" s="457">
        <f t="shared" si="5"/>
        <v>2.9</v>
      </c>
      <c r="E97" s="474">
        <f t="shared" si="6"/>
        <v>2.7</v>
      </c>
      <c r="F97" s="473">
        <f t="shared" si="7"/>
        <v>0.85</v>
      </c>
      <c r="G97" s="472">
        <f t="shared" si="8"/>
        <v>14.4855</v>
      </c>
      <c r="H97" s="437"/>
      <c r="I97" s="458">
        <v>200</v>
      </c>
      <c r="J97" s="459">
        <f t="shared" si="9"/>
        <v>0.27514002644958108</v>
      </c>
      <c r="K97" s="437"/>
      <c r="L97" s="437"/>
      <c r="M97" s="437"/>
      <c r="N97" s="437"/>
      <c r="O97" s="437"/>
    </row>
    <row r="98" spans="1:15">
      <c r="A98" s="457">
        <v>2</v>
      </c>
      <c r="B98" s="457">
        <v>4</v>
      </c>
      <c r="C98" s="457">
        <v>3</v>
      </c>
      <c r="D98" s="457">
        <f t="shared" si="5"/>
        <v>2.9</v>
      </c>
      <c r="E98" s="474">
        <f t="shared" si="6"/>
        <v>2.7</v>
      </c>
      <c r="F98" s="473">
        <f t="shared" si="7"/>
        <v>0.7</v>
      </c>
      <c r="G98" s="472">
        <f t="shared" si="8"/>
        <v>13.311</v>
      </c>
      <c r="H98" s="437"/>
      <c r="I98" s="458">
        <v>200</v>
      </c>
      <c r="J98" s="459">
        <f t="shared" si="9"/>
        <v>0.23069610207200472</v>
      </c>
      <c r="K98" s="437"/>
      <c r="L98" s="437"/>
      <c r="M98" s="437"/>
      <c r="N98" s="437"/>
      <c r="O98" s="437"/>
    </row>
    <row r="99" spans="1:15">
      <c r="A99" s="457">
        <v>2</v>
      </c>
      <c r="B99" s="457">
        <v>4</v>
      </c>
      <c r="C99" s="457">
        <v>4</v>
      </c>
      <c r="D99" s="457">
        <f t="shared" si="5"/>
        <v>2.9</v>
      </c>
      <c r="E99" s="474">
        <f t="shared" si="6"/>
        <v>2.7</v>
      </c>
      <c r="F99" s="473">
        <f t="shared" si="7"/>
        <v>0.45</v>
      </c>
      <c r="G99" s="472">
        <f t="shared" si="8"/>
        <v>11.3535</v>
      </c>
      <c r="H99" s="437"/>
      <c r="I99" s="458">
        <v>200</v>
      </c>
      <c r="J99" s="459">
        <f t="shared" si="9"/>
        <v>0.16842286344256541</v>
      </c>
      <c r="K99" s="437"/>
      <c r="L99" s="437"/>
      <c r="M99" s="437"/>
      <c r="N99" s="437"/>
      <c r="O99" s="437"/>
    </row>
    <row r="100" spans="1:15">
      <c r="A100" s="457">
        <v>2</v>
      </c>
      <c r="B100" s="457">
        <v>5</v>
      </c>
      <c r="C100" s="457">
        <v>1</v>
      </c>
      <c r="D100" s="457">
        <f t="shared" si="5"/>
        <v>2.9</v>
      </c>
      <c r="E100" s="474">
        <f t="shared" si="6"/>
        <v>1.3</v>
      </c>
      <c r="F100" s="473">
        <f t="shared" si="7"/>
        <v>2.1</v>
      </c>
      <c r="G100" s="472">
        <f t="shared" si="8"/>
        <v>11.687000000000001</v>
      </c>
      <c r="H100" s="437"/>
      <c r="I100" s="458">
        <v>200</v>
      </c>
      <c r="J100" s="459">
        <f t="shared" si="9"/>
        <v>0.17799253327037401</v>
      </c>
      <c r="K100" s="437"/>
      <c r="L100" s="437"/>
      <c r="M100" s="437"/>
      <c r="N100" s="437"/>
      <c r="O100" s="437"/>
    </row>
    <row r="101" spans="1:15">
      <c r="A101" s="457">
        <v>2</v>
      </c>
      <c r="B101" s="457">
        <v>5</v>
      </c>
      <c r="C101" s="457">
        <v>2</v>
      </c>
      <c r="D101" s="457">
        <f t="shared" si="5"/>
        <v>2.9</v>
      </c>
      <c r="E101" s="474">
        <f t="shared" si="6"/>
        <v>1.3</v>
      </c>
      <c r="F101" s="473">
        <f t="shared" si="7"/>
        <v>0.85</v>
      </c>
      <c r="G101" s="472">
        <f t="shared" si="8"/>
        <v>6.9744999999999999</v>
      </c>
      <c r="H101" s="437"/>
      <c r="I101" s="458">
        <v>200</v>
      </c>
      <c r="J101" s="459">
        <f t="shared" si="9"/>
        <v>7.7714315597101735E-2</v>
      </c>
      <c r="K101" s="437"/>
      <c r="L101" s="437"/>
      <c r="M101" s="437"/>
      <c r="N101" s="437"/>
      <c r="O101" s="437"/>
    </row>
    <row r="102" spans="1:15">
      <c r="A102" s="457">
        <v>2</v>
      </c>
      <c r="B102" s="457">
        <v>5</v>
      </c>
      <c r="C102" s="457">
        <v>3</v>
      </c>
      <c r="D102" s="457">
        <f t="shared" si="5"/>
        <v>2.9</v>
      </c>
      <c r="E102" s="474">
        <f t="shared" si="6"/>
        <v>1.3</v>
      </c>
      <c r="F102" s="473">
        <f t="shared" si="7"/>
        <v>0.7</v>
      </c>
      <c r="G102" s="472">
        <f t="shared" si="8"/>
        <v>6.4089999999999998</v>
      </c>
      <c r="H102" s="437"/>
      <c r="I102" s="458">
        <v>200</v>
      </c>
      <c r="J102" s="459">
        <f t="shared" si="9"/>
        <v>6.9979469245139522E-2</v>
      </c>
      <c r="K102" s="437"/>
      <c r="L102" s="437"/>
      <c r="M102" s="437"/>
      <c r="N102" s="437"/>
      <c r="O102" s="437"/>
    </row>
    <row r="103" spans="1:15">
      <c r="A103" s="457">
        <v>2</v>
      </c>
      <c r="B103" s="457">
        <v>5</v>
      </c>
      <c r="C103" s="457">
        <v>4</v>
      </c>
      <c r="D103" s="457">
        <f t="shared" si="5"/>
        <v>2.9</v>
      </c>
      <c r="E103" s="474">
        <f t="shared" si="6"/>
        <v>1.3</v>
      </c>
      <c r="F103" s="473">
        <f t="shared" si="7"/>
        <v>0.45</v>
      </c>
      <c r="G103" s="472">
        <f t="shared" si="8"/>
        <v>5.4664999999999999</v>
      </c>
      <c r="H103" s="437"/>
      <c r="I103" s="458">
        <v>200</v>
      </c>
      <c r="J103" s="459">
        <f t="shared" si="9"/>
        <v>5.8655228514545521E-2</v>
      </c>
      <c r="K103" s="437"/>
      <c r="L103" s="437"/>
      <c r="M103" s="437"/>
      <c r="N103" s="437"/>
      <c r="O103" s="437"/>
    </row>
    <row r="104" spans="1:15">
      <c r="A104" s="457">
        <v>3</v>
      </c>
      <c r="B104" s="457">
        <v>1</v>
      </c>
      <c r="C104" s="457">
        <v>1</v>
      </c>
      <c r="D104" s="457">
        <f t="shared" si="5"/>
        <v>3.8</v>
      </c>
      <c r="E104" s="474">
        <f t="shared" si="6"/>
        <v>4</v>
      </c>
      <c r="F104" s="473">
        <f t="shared" si="7"/>
        <v>2.1</v>
      </c>
      <c r="G104" s="472">
        <f t="shared" si="8"/>
        <v>47.12</v>
      </c>
      <c r="H104" s="437"/>
      <c r="I104" s="458">
        <v>200</v>
      </c>
      <c r="J104" s="459">
        <f t="shared" si="9"/>
        <v>1.0060673867775387</v>
      </c>
      <c r="K104" s="437"/>
      <c r="L104" s="437"/>
      <c r="M104" s="437"/>
      <c r="N104" s="437"/>
      <c r="O104" s="437"/>
    </row>
    <row r="105" spans="1:15">
      <c r="A105" s="457">
        <v>3</v>
      </c>
      <c r="B105" s="457">
        <v>1</v>
      </c>
      <c r="C105" s="457">
        <v>2</v>
      </c>
      <c r="D105" s="457">
        <f t="shared" si="5"/>
        <v>3.8</v>
      </c>
      <c r="E105" s="474">
        <f t="shared" si="6"/>
        <v>4</v>
      </c>
      <c r="F105" s="473">
        <f t="shared" si="7"/>
        <v>0.85</v>
      </c>
      <c r="G105" s="472">
        <f t="shared" si="8"/>
        <v>28.119999999999997</v>
      </c>
      <c r="H105" s="437"/>
      <c r="I105" s="458">
        <v>200</v>
      </c>
      <c r="J105" s="459">
        <f t="shared" si="9"/>
        <v>0.85977034883425008</v>
      </c>
      <c r="K105" s="437"/>
      <c r="L105" s="437"/>
      <c r="M105" s="437"/>
      <c r="N105" s="437"/>
      <c r="O105" s="437"/>
    </row>
    <row r="106" spans="1:15">
      <c r="A106" s="457">
        <v>3</v>
      </c>
      <c r="B106" s="457">
        <v>1</v>
      </c>
      <c r="C106" s="457">
        <v>3</v>
      </c>
      <c r="D106" s="457">
        <f t="shared" si="5"/>
        <v>3.8</v>
      </c>
      <c r="E106" s="474">
        <f t="shared" si="6"/>
        <v>4</v>
      </c>
      <c r="F106" s="473">
        <f t="shared" si="7"/>
        <v>0.7</v>
      </c>
      <c r="G106" s="472">
        <f t="shared" si="8"/>
        <v>25.839999999999996</v>
      </c>
      <c r="H106" s="437"/>
      <c r="I106" s="458">
        <v>200</v>
      </c>
      <c r="J106" s="459">
        <f t="shared" si="9"/>
        <v>0.79173215417908416</v>
      </c>
      <c r="K106" s="437"/>
      <c r="L106" s="437"/>
      <c r="M106" s="437"/>
      <c r="N106" s="437"/>
      <c r="O106" s="437"/>
    </row>
    <row r="107" spans="1:15">
      <c r="A107" s="457">
        <v>3</v>
      </c>
      <c r="B107" s="457">
        <v>1</v>
      </c>
      <c r="C107" s="457">
        <v>4</v>
      </c>
      <c r="D107" s="457">
        <f t="shared" si="5"/>
        <v>3.8</v>
      </c>
      <c r="E107" s="474">
        <f t="shared" si="6"/>
        <v>4</v>
      </c>
      <c r="F107" s="473">
        <f t="shared" si="7"/>
        <v>0.45</v>
      </c>
      <c r="G107" s="472">
        <f t="shared" si="8"/>
        <v>22.04</v>
      </c>
      <c r="H107" s="437"/>
      <c r="I107" s="458">
        <v>200</v>
      </c>
      <c r="J107" s="459">
        <f t="shared" si="9"/>
        <v>0.63542456871109598</v>
      </c>
      <c r="K107" s="437"/>
      <c r="L107" s="437"/>
      <c r="M107" s="437"/>
      <c r="N107" s="437"/>
      <c r="O107" s="437"/>
    </row>
    <row r="108" spans="1:15">
      <c r="A108" s="457">
        <v>3</v>
      </c>
      <c r="B108" s="457">
        <v>2</v>
      </c>
      <c r="C108" s="457">
        <v>1</v>
      </c>
      <c r="D108" s="457">
        <f t="shared" si="5"/>
        <v>3.8</v>
      </c>
      <c r="E108" s="474">
        <f t="shared" si="6"/>
        <v>2.9</v>
      </c>
      <c r="F108" s="473">
        <f t="shared" si="7"/>
        <v>2.1</v>
      </c>
      <c r="G108" s="472">
        <f t="shared" si="8"/>
        <v>34.161999999999999</v>
      </c>
      <c r="H108" s="437"/>
      <c r="I108" s="458">
        <v>200</v>
      </c>
      <c r="J108" s="459">
        <f t="shared" si="9"/>
        <v>0.95990438428794855</v>
      </c>
      <c r="K108" s="437"/>
      <c r="L108" s="437"/>
      <c r="M108" s="437"/>
      <c r="N108" s="437"/>
      <c r="O108" s="437"/>
    </row>
    <row r="109" spans="1:15">
      <c r="A109" s="457">
        <v>3</v>
      </c>
      <c r="B109" s="457">
        <v>2</v>
      </c>
      <c r="C109" s="457">
        <v>2</v>
      </c>
      <c r="D109" s="457">
        <f t="shared" si="5"/>
        <v>3.8</v>
      </c>
      <c r="E109" s="474">
        <f t="shared" si="6"/>
        <v>2.9</v>
      </c>
      <c r="F109" s="473">
        <f t="shared" si="7"/>
        <v>0.85</v>
      </c>
      <c r="G109" s="472">
        <f t="shared" si="8"/>
        <v>20.387</v>
      </c>
      <c r="H109" s="437"/>
      <c r="I109" s="458">
        <v>200</v>
      </c>
      <c r="J109" s="459">
        <f t="shared" si="9"/>
        <v>0.55480734645944685</v>
      </c>
      <c r="K109" s="437"/>
      <c r="L109" s="437"/>
      <c r="M109" s="437"/>
      <c r="N109" s="437"/>
      <c r="O109" s="437"/>
    </row>
    <row r="110" spans="1:15">
      <c r="A110" s="457">
        <v>3</v>
      </c>
      <c r="B110" s="457">
        <v>2</v>
      </c>
      <c r="C110" s="457">
        <v>3</v>
      </c>
      <c r="D110" s="457">
        <f t="shared" si="5"/>
        <v>3.8</v>
      </c>
      <c r="E110" s="474">
        <f t="shared" si="6"/>
        <v>2.9</v>
      </c>
      <c r="F110" s="473">
        <f t="shared" si="7"/>
        <v>0.7</v>
      </c>
      <c r="G110" s="472">
        <f t="shared" si="8"/>
        <v>18.733999999999998</v>
      </c>
      <c r="H110" s="437"/>
      <c r="I110" s="458">
        <v>200</v>
      </c>
      <c r="J110" s="459">
        <f t="shared" si="9"/>
        <v>0.47154237957231704</v>
      </c>
      <c r="K110" s="437"/>
      <c r="L110" s="437"/>
      <c r="M110" s="437"/>
      <c r="N110" s="437"/>
      <c r="O110" s="437"/>
    </row>
    <row r="111" spans="1:15">
      <c r="A111" s="457">
        <v>3</v>
      </c>
      <c r="B111" s="457">
        <v>2</v>
      </c>
      <c r="C111" s="457">
        <v>4</v>
      </c>
      <c r="D111" s="457">
        <f t="shared" si="5"/>
        <v>3.8</v>
      </c>
      <c r="E111" s="474">
        <f t="shared" si="6"/>
        <v>2.9</v>
      </c>
      <c r="F111" s="473">
        <f t="shared" si="7"/>
        <v>0.45</v>
      </c>
      <c r="G111" s="472">
        <f t="shared" si="8"/>
        <v>15.978999999999999</v>
      </c>
      <c r="H111" s="437"/>
      <c r="I111" s="458">
        <v>200</v>
      </c>
      <c r="J111" s="459">
        <f t="shared" si="9"/>
        <v>0.33879040382618603</v>
      </c>
      <c r="K111" s="437"/>
      <c r="L111" s="437"/>
      <c r="M111" s="437"/>
      <c r="N111" s="437"/>
      <c r="O111" s="437"/>
    </row>
    <row r="112" spans="1:15">
      <c r="A112" s="457">
        <v>3</v>
      </c>
      <c r="B112" s="457">
        <v>3</v>
      </c>
      <c r="C112" s="457">
        <v>1</v>
      </c>
      <c r="D112" s="457">
        <f t="shared" si="5"/>
        <v>3.8</v>
      </c>
      <c r="E112" s="474">
        <f t="shared" si="6"/>
        <v>2.8</v>
      </c>
      <c r="F112" s="473">
        <f t="shared" si="7"/>
        <v>2.1</v>
      </c>
      <c r="G112" s="472">
        <f t="shared" si="8"/>
        <v>32.983999999999995</v>
      </c>
      <c r="H112" s="437"/>
      <c r="I112" s="458">
        <v>200</v>
      </c>
      <c r="J112" s="459">
        <f t="shared" si="9"/>
        <v>0.94742020098795754</v>
      </c>
      <c r="K112" s="437"/>
      <c r="L112" s="437"/>
      <c r="M112" s="437"/>
      <c r="N112" s="437"/>
      <c r="O112" s="437"/>
    </row>
    <row r="113" spans="1:15">
      <c r="A113" s="457">
        <v>3</v>
      </c>
      <c r="B113" s="457">
        <v>3</v>
      </c>
      <c r="C113" s="457">
        <v>2</v>
      </c>
      <c r="D113" s="457">
        <f t="shared" si="5"/>
        <v>3.8</v>
      </c>
      <c r="E113" s="474">
        <f t="shared" si="6"/>
        <v>2.8</v>
      </c>
      <c r="F113" s="473">
        <f t="shared" si="7"/>
        <v>0.85</v>
      </c>
      <c r="G113" s="472">
        <f t="shared" si="8"/>
        <v>19.683999999999997</v>
      </c>
      <c r="H113" s="437"/>
      <c r="I113" s="458">
        <v>200</v>
      </c>
      <c r="J113" s="459">
        <f t="shared" si="9"/>
        <v>0.51946433967404715</v>
      </c>
      <c r="K113" s="437"/>
      <c r="L113" s="437"/>
      <c r="M113" s="437"/>
      <c r="N113" s="437"/>
      <c r="O113" s="437"/>
    </row>
    <row r="114" spans="1:15">
      <c r="A114" s="457">
        <v>3</v>
      </c>
      <c r="B114" s="457">
        <v>3</v>
      </c>
      <c r="C114" s="457">
        <v>3</v>
      </c>
      <c r="D114" s="457">
        <f t="shared" si="5"/>
        <v>3.8</v>
      </c>
      <c r="E114" s="474">
        <f t="shared" si="6"/>
        <v>2.8</v>
      </c>
      <c r="F114" s="473">
        <f t="shared" si="7"/>
        <v>0.7</v>
      </c>
      <c r="G114" s="472">
        <f t="shared" si="8"/>
        <v>18.087999999999997</v>
      </c>
      <c r="H114" s="437"/>
      <c r="I114" s="458">
        <v>200</v>
      </c>
      <c r="J114" s="459">
        <f t="shared" si="9"/>
        <v>0.43924571687890024</v>
      </c>
      <c r="K114" s="437"/>
      <c r="L114" s="437"/>
      <c r="M114" s="437"/>
      <c r="N114" s="437"/>
      <c r="O114" s="437"/>
    </row>
    <row r="115" spans="1:15">
      <c r="A115" s="457">
        <v>3</v>
      </c>
      <c r="B115" s="457">
        <v>3</v>
      </c>
      <c r="C115" s="457">
        <v>4</v>
      </c>
      <c r="D115" s="457">
        <f t="shared" si="5"/>
        <v>3.8</v>
      </c>
      <c r="E115" s="474">
        <f t="shared" si="6"/>
        <v>2.8</v>
      </c>
      <c r="F115" s="473">
        <f t="shared" si="7"/>
        <v>0.45</v>
      </c>
      <c r="G115" s="472">
        <f t="shared" si="8"/>
        <v>15.427999999999997</v>
      </c>
      <c r="H115" s="437"/>
      <c r="I115" s="458">
        <v>200</v>
      </c>
      <c r="J115" s="459">
        <f t="shared" si="9"/>
        <v>0.31444523695349252</v>
      </c>
      <c r="K115" s="437"/>
      <c r="L115" s="437"/>
      <c r="M115" s="437"/>
      <c r="N115" s="437"/>
      <c r="O115" s="437"/>
    </row>
    <row r="116" spans="1:15">
      <c r="A116" s="457">
        <v>3</v>
      </c>
      <c r="B116" s="457">
        <v>4</v>
      </c>
      <c r="C116" s="457">
        <v>1</v>
      </c>
      <c r="D116" s="457">
        <f t="shared" si="5"/>
        <v>3.8</v>
      </c>
      <c r="E116" s="474">
        <f t="shared" si="6"/>
        <v>2.7</v>
      </c>
      <c r="F116" s="473">
        <f t="shared" si="7"/>
        <v>2.1</v>
      </c>
      <c r="G116" s="472">
        <f t="shared" si="8"/>
        <v>31.805999999999997</v>
      </c>
      <c r="H116" s="437"/>
      <c r="I116" s="458">
        <v>200</v>
      </c>
      <c r="J116" s="459">
        <f t="shared" si="9"/>
        <v>0.93207742546819472</v>
      </c>
      <c r="K116" s="437"/>
      <c r="L116" s="437"/>
      <c r="M116" s="437"/>
      <c r="N116" s="437"/>
      <c r="O116" s="437"/>
    </row>
    <row r="117" spans="1:15">
      <c r="A117" s="457">
        <v>3</v>
      </c>
      <c r="B117" s="457">
        <v>4</v>
      </c>
      <c r="C117" s="457">
        <v>2</v>
      </c>
      <c r="D117" s="457">
        <f t="shared" si="5"/>
        <v>3.8</v>
      </c>
      <c r="E117" s="474">
        <f t="shared" si="6"/>
        <v>2.7</v>
      </c>
      <c r="F117" s="473">
        <f t="shared" si="7"/>
        <v>0.85</v>
      </c>
      <c r="G117" s="472">
        <f t="shared" si="8"/>
        <v>18.981000000000002</v>
      </c>
      <c r="H117" s="437"/>
      <c r="I117" s="458">
        <v>200</v>
      </c>
      <c r="J117" s="459">
        <f t="shared" si="9"/>
        <v>0.48397895080420283</v>
      </c>
      <c r="K117" s="437"/>
      <c r="L117" s="437"/>
      <c r="M117" s="437"/>
      <c r="N117" s="437"/>
      <c r="O117" s="437"/>
    </row>
    <row r="118" spans="1:15">
      <c r="A118" s="457">
        <v>3</v>
      </c>
      <c r="B118" s="457">
        <v>4</v>
      </c>
      <c r="C118" s="457">
        <v>3</v>
      </c>
      <c r="D118" s="457">
        <f t="shared" si="5"/>
        <v>3.8</v>
      </c>
      <c r="E118" s="474">
        <f t="shared" si="6"/>
        <v>2.7</v>
      </c>
      <c r="F118" s="473">
        <f t="shared" si="7"/>
        <v>0.7</v>
      </c>
      <c r="G118" s="472">
        <f t="shared" si="8"/>
        <v>17.442</v>
      </c>
      <c r="H118" s="437"/>
      <c r="I118" s="458">
        <v>200</v>
      </c>
      <c r="J118" s="459">
        <f t="shared" si="9"/>
        <v>0.4074870967094199</v>
      </c>
      <c r="K118" s="437"/>
      <c r="L118" s="437"/>
      <c r="M118" s="437"/>
      <c r="N118" s="437"/>
      <c r="O118" s="437"/>
    </row>
    <row r="119" spans="1:15">
      <c r="A119" s="457">
        <v>3</v>
      </c>
      <c r="B119" s="457">
        <v>4</v>
      </c>
      <c r="C119" s="457">
        <v>4</v>
      </c>
      <c r="D119" s="457">
        <f t="shared" si="5"/>
        <v>3.8</v>
      </c>
      <c r="E119" s="474">
        <f t="shared" si="6"/>
        <v>2.7</v>
      </c>
      <c r="F119" s="473">
        <f t="shared" si="7"/>
        <v>0.45</v>
      </c>
      <c r="G119" s="472">
        <f t="shared" si="8"/>
        <v>14.876999999999999</v>
      </c>
      <c r="H119" s="437"/>
      <c r="I119" s="458">
        <v>200</v>
      </c>
      <c r="J119" s="459">
        <f t="shared" si="9"/>
        <v>0.291090800729777</v>
      </c>
      <c r="K119" s="437"/>
      <c r="L119" s="437"/>
      <c r="M119" s="437"/>
      <c r="N119" s="437"/>
      <c r="O119" s="437"/>
    </row>
    <row r="120" spans="1:15">
      <c r="A120" s="457">
        <v>3</v>
      </c>
      <c r="B120" s="457">
        <v>5</v>
      </c>
      <c r="C120" s="457">
        <v>1</v>
      </c>
      <c r="D120" s="457">
        <f t="shared" si="5"/>
        <v>3.8</v>
      </c>
      <c r="E120" s="474">
        <f t="shared" si="6"/>
        <v>1.3</v>
      </c>
      <c r="F120" s="473">
        <f t="shared" si="7"/>
        <v>2.1</v>
      </c>
      <c r="G120" s="472">
        <f t="shared" si="8"/>
        <v>15.313999999999998</v>
      </c>
      <c r="H120" s="437"/>
      <c r="I120" s="458">
        <v>200</v>
      </c>
      <c r="J120" s="459">
        <f t="shared" si="9"/>
        <v>0.30952929301227849</v>
      </c>
      <c r="K120" s="437"/>
      <c r="L120" s="437"/>
      <c r="M120" s="437"/>
      <c r="N120" s="437"/>
      <c r="O120" s="437"/>
    </row>
    <row r="121" spans="1:15">
      <c r="A121" s="457">
        <v>3</v>
      </c>
      <c r="B121" s="457">
        <v>5</v>
      </c>
      <c r="C121" s="457">
        <v>2</v>
      </c>
      <c r="D121" s="457">
        <f t="shared" si="5"/>
        <v>3.8</v>
      </c>
      <c r="E121" s="474">
        <f t="shared" si="6"/>
        <v>1.3</v>
      </c>
      <c r="F121" s="473">
        <f t="shared" si="7"/>
        <v>0.85</v>
      </c>
      <c r="G121" s="472">
        <f t="shared" si="8"/>
        <v>9.1389999999999993</v>
      </c>
      <c r="H121" s="437"/>
      <c r="I121" s="458">
        <v>200</v>
      </c>
      <c r="J121" s="459">
        <f t="shared" si="9"/>
        <v>0.11501954458018464</v>
      </c>
      <c r="K121" s="437"/>
      <c r="L121" s="437"/>
      <c r="M121" s="437"/>
      <c r="N121" s="437"/>
      <c r="O121" s="437"/>
    </row>
    <row r="122" spans="1:15">
      <c r="A122" s="457">
        <v>3</v>
      </c>
      <c r="B122" s="457">
        <v>5</v>
      </c>
      <c r="C122" s="457">
        <v>3</v>
      </c>
      <c r="D122" s="457">
        <f t="shared" si="5"/>
        <v>3.8</v>
      </c>
      <c r="E122" s="474">
        <f t="shared" si="6"/>
        <v>1.3</v>
      </c>
      <c r="F122" s="473">
        <f t="shared" si="7"/>
        <v>0.7</v>
      </c>
      <c r="G122" s="472">
        <f t="shared" si="8"/>
        <v>8.3979999999999997</v>
      </c>
      <c r="H122" s="437"/>
      <c r="I122" s="458">
        <v>200</v>
      </c>
      <c r="J122" s="459">
        <f t="shared" si="9"/>
        <v>0.1007570811035462</v>
      </c>
      <c r="K122" s="437"/>
      <c r="L122" s="437"/>
      <c r="M122" s="437"/>
      <c r="N122" s="437"/>
      <c r="O122" s="437"/>
    </row>
    <row r="123" spans="1:15">
      <c r="A123" s="457">
        <v>3</v>
      </c>
      <c r="B123" s="457">
        <v>5</v>
      </c>
      <c r="C123" s="457">
        <v>4</v>
      </c>
      <c r="D123" s="457">
        <f t="shared" si="5"/>
        <v>3.8</v>
      </c>
      <c r="E123" s="474">
        <f t="shared" si="6"/>
        <v>1.3</v>
      </c>
      <c r="F123" s="473">
        <f t="shared" si="7"/>
        <v>0.45</v>
      </c>
      <c r="G123" s="472">
        <f t="shared" si="8"/>
        <v>7.1629999999999994</v>
      </c>
      <c r="H123" s="437"/>
      <c r="I123" s="458">
        <v>200</v>
      </c>
      <c r="J123" s="459">
        <f t="shared" si="9"/>
        <v>8.046221116043191E-2</v>
      </c>
      <c r="K123" s="437"/>
      <c r="L123" s="437"/>
      <c r="M123" s="437"/>
      <c r="N123" s="437"/>
      <c r="O123" s="437"/>
    </row>
    <row r="124" spans="1:15">
      <c r="A124" s="457">
        <v>4</v>
      </c>
      <c r="B124" s="457">
        <v>1</v>
      </c>
      <c r="C124" s="457">
        <v>1</v>
      </c>
      <c r="D124" s="457">
        <f t="shared" si="5"/>
        <v>5.8</v>
      </c>
      <c r="E124" s="474">
        <f t="shared" si="6"/>
        <v>4</v>
      </c>
      <c r="F124" s="473">
        <f t="shared" si="7"/>
        <v>2.1</v>
      </c>
      <c r="G124" s="472">
        <f t="shared" si="8"/>
        <v>71.92</v>
      </c>
      <c r="H124" s="437"/>
      <c r="I124" s="458">
        <v>200</v>
      </c>
      <c r="J124" s="459">
        <f t="shared" si="9"/>
        <v>1.0099723138222596</v>
      </c>
      <c r="K124" s="437"/>
      <c r="L124" s="437"/>
      <c r="M124" s="437"/>
      <c r="N124" s="437"/>
      <c r="O124" s="437"/>
    </row>
    <row r="125" spans="1:15">
      <c r="A125" s="457">
        <v>4</v>
      </c>
      <c r="B125" s="457">
        <v>1</v>
      </c>
      <c r="C125" s="457">
        <v>2</v>
      </c>
      <c r="D125" s="457">
        <f t="shared" si="5"/>
        <v>5.8</v>
      </c>
      <c r="E125" s="474">
        <f t="shared" si="6"/>
        <v>4</v>
      </c>
      <c r="F125" s="473">
        <f t="shared" si="7"/>
        <v>0.85</v>
      </c>
      <c r="G125" s="472">
        <f t="shared" si="8"/>
        <v>42.92</v>
      </c>
      <c r="H125" s="437"/>
      <c r="I125" s="458">
        <v>200</v>
      </c>
      <c r="J125" s="459">
        <f t="shared" si="9"/>
        <v>1.0009370766769445</v>
      </c>
      <c r="K125" s="437"/>
      <c r="L125" s="437"/>
      <c r="M125" s="437"/>
      <c r="N125" s="437"/>
      <c r="O125" s="437"/>
    </row>
    <row r="126" spans="1:15">
      <c r="A126" s="457">
        <v>4</v>
      </c>
      <c r="B126" s="457">
        <v>1</v>
      </c>
      <c r="C126" s="457">
        <v>3</v>
      </c>
      <c r="D126" s="457">
        <f t="shared" si="5"/>
        <v>5.8</v>
      </c>
      <c r="E126" s="474">
        <f t="shared" si="6"/>
        <v>4</v>
      </c>
      <c r="F126" s="473">
        <f t="shared" si="7"/>
        <v>0.7</v>
      </c>
      <c r="G126" s="472">
        <f t="shared" si="8"/>
        <v>39.44</v>
      </c>
      <c r="H126" s="437"/>
      <c r="I126" s="458">
        <v>200</v>
      </c>
      <c r="J126" s="459">
        <f t="shared" si="9"/>
        <v>0.99198494593291542</v>
      </c>
      <c r="K126" s="437"/>
      <c r="L126" s="437"/>
      <c r="M126" s="437"/>
      <c r="N126" s="437"/>
      <c r="O126" s="437"/>
    </row>
    <row r="127" spans="1:15">
      <c r="A127" s="457">
        <v>4</v>
      </c>
      <c r="B127" s="457">
        <v>1</v>
      </c>
      <c r="C127" s="457">
        <v>4</v>
      </c>
      <c r="D127" s="457">
        <f t="shared" si="5"/>
        <v>5.8</v>
      </c>
      <c r="E127" s="474">
        <f t="shared" si="6"/>
        <v>4</v>
      </c>
      <c r="F127" s="473">
        <f t="shared" si="7"/>
        <v>0.45</v>
      </c>
      <c r="G127" s="472">
        <f t="shared" si="8"/>
        <v>33.64</v>
      </c>
      <c r="H127" s="437"/>
      <c r="I127" s="458">
        <v>200</v>
      </c>
      <c r="J127" s="459">
        <f t="shared" si="9"/>
        <v>0.95469351474375619</v>
      </c>
      <c r="K127" s="437"/>
      <c r="L127" s="437"/>
      <c r="M127" s="437"/>
      <c r="N127" s="437"/>
      <c r="O127" s="437"/>
    </row>
    <row r="128" spans="1:15">
      <c r="A128" s="457">
        <v>4</v>
      </c>
      <c r="B128" s="457">
        <v>2</v>
      </c>
      <c r="C128" s="457">
        <v>1</v>
      </c>
      <c r="D128" s="457">
        <f t="shared" si="5"/>
        <v>5.8</v>
      </c>
      <c r="E128" s="474">
        <f t="shared" si="6"/>
        <v>2.9</v>
      </c>
      <c r="F128" s="473">
        <f t="shared" si="7"/>
        <v>2.1</v>
      </c>
      <c r="G128" s="472">
        <f t="shared" si="8"/>
        <v>52.142000000000003</v>
      </c>
      <c r="H128" s="437"/>
      <c r="I128" s="458">
        <v>200</v>
      </c>
      <c r="J128" s="459">
        <f t="shared" si="9"/>
        <v>1.0085560610544184</v>
      </c>
      <c r="K128" s="437"/>
      <c r="L128" s="437"/>
      <c r="M128" s="437"/>
      <c r="N128" s="437"/>
      <c r="O128" s="437"/>
    </row>
    <row r="129" spans="1:15">
      <c r="A129" s="457">
        <v>4</v>
      </c>
      <c r="B129" s="457">
        <v>2</v>
      </c>
      <c r="C129" s="457">
        <v>2</v>
      </c>
      <c r="D129" s="457">
        <f t="shared" ref="D129:D143" si="10">IF(A129=1,0.9,IF(A129=2,2.9,IF(A129=3,3.8,5.8)))</f>
        <v>5.8</v>
      </c>
      <c r="E129" s="474">
        <f t="shared" ref="E129:E143" si="11">IF(B129=1,4,IF(B129=2,2.9,IF(B129=3,2.8,IF(B129=4,2.7,1.3))))</f>
        <v>2.9</v>
      </c>
      <c r="F129" s="473">
        <f t="shared" ref="F129:F143" si="12">IF(C129=1,2.1,IF(C129=2,0.85,IF(C129=3,0.7,0.45)))</f>
        <v>0.85</v>
      </c>
      <c r="G129" s="472">
        <f t="shared" ref="G129:G143" si="13">(D129*E129)+(D129*E129*F129)</f>
        <v>31.117000000000001</v>
      </c>
      <c r="H129" s="437"/>
      <c r="I129" s="458">
        <v>200</v>
      </c>
      <c r="J129" s="459">
        <f t="shared" ref="J129:J143" si="14">$B$7/(1+$D$7*EXP(-G129*I129/1000))</f>
        <v>0.9215726406694118</v>
      </c>
      <c r="K129" s="437"/>
      <c r="L129" s="437"/>
      <c r="M129" s="437"/>
      <c r="N129" s="437"/>
      <c r="O129" s="437"/>
    </row>
    <row r="130" spans="1:15">
      <c r="A130" s="457">
        <v>4</v>
      </c>
      <c r="B130" s="457">
        <v>2</v>
      </c>
      <c r="C130" s="457">
        <v>3</v>
      </c>
      <c r="D130" s="457">
        <f t="shared" si="10"/>
        <v>5.8</v>
      </c>
      <c r="E130" s="474">
        <f t="shared" si="11"/>
        <v>2.9</v>
      </c>
      <c r="F130" s="473">
        <f t="shared" si="12"/>
        <v>0.7</v>
      </c>
      <c r="G130" s="472">
        <f t="shared" si="13"/>
        <v>28.594000000000001</v>
      </c>
      <c r="H130" s="437"/>
      <c r="I130" s="458">
        <v>200</v>
      </c>
      <c r="J130" s="459">
        <f t="shared" si="14"/>
        <v>0.87149457987268952</v>
      </c>
      <c r="K130" s="437"/>
      <c r="L130" s="437"/>
      <c r="M130" s="437"/>
      <c r="N130" s="437"/>
      <c r="O130" s="437"/>
    </row>
    <row r="131" spans="1:15">
      <c r="A131" s="457">
        <v>4</v>
      </c>
      <c r="B131" s="457">
        <v>2</v>
      </c>
      <c r="C131" s="457">
        <v>4</v>
      </c>
      <c r="D131" s="457">
        <f t="shared" si="10"/>
        <v>5.8</v>
      </c>
      <c r="E131" s="474">
        <f t="shared" si="11"/>
        <v>2.9</v>
      </c>
      <c r="F131" s="473">
        <f t="shared" si="12"/>
        <v>0.45</v>
      </c>
      <c r="G131" s="472">
        <f t="shared" si="13"/>
        <v>24.388999999999999</v>
      </c>
      <c r="H131" s="437"/>
      <c r="I131" s="458">
        <v>200</v>
      </c>
      <c r="J131" s="459">
        <f t="shared" si="14"/>
        <v>0.73803148617350278</v>
      </c>
      <c r="K131" s="437"/>
      <c r="L131" s="437"/>
      <c r="M131" s="437"/>
      <c r="N131" s="437"/>
      <c r="O131" s="437"/>
    </row>
    <row r="132" spans="1:15">
      <c r="A132" s="457">
        <v>4</v>
      </c>
      <c r="B132" s="457">
        <v>3</v>
      </c>
      <c r="C132" s="457">
        <v>1</v>
      </c>
      <c r="D132" s="457">
        <f t="shared" si="10"/>
        <v>5.8</v>
      </c>
      <c r="E132" s="474">
        <f t="shared" si="11"/>
        <v>2.8</v>
      </c>
      <c r="F132" s="473">
        <f t="shared" si="12"/>
        <v>2.1</v>
      </c>
      <c r="G132" s="472">
        <f t="shared" si="13"/>
        <v>50.343999999999994</v>
      </c>
      <c r="H132" s="437"/>
      <c r="I132" s="458">
        <v>200</v>
      </c>
      <c r="J132" s="459">
        <f t="shared" si="14"/>
        <v>1.0079324666822693</v>
      </c>
      <c r="K132" s="437"/>
      <c r="L132" s="437"/>
      <c r="M132" s="437"/>
      <c r="N132" s="437"/>
      <c r="O132" s="437"/>
    </row>
    <row r="133" spans="1:15">
      <c r="A133" s="457">
        <v>4</v>
      </c>
      <c r="B133" s="457">
        <v>3</v>
      </c>
      <c r="C133" s="457">
        <v>2</v>
      </c>
      <c r="D133" s="457">
        <f t="shared" si="10"/>
        <v>5.8</v>
      </c>
      <c r="E133" s="474">
        <f t="shared" si="11"/>
        <v>2.8</v>
      </c>
      <c r="F133" s="473">
        <f t="shared" si="12"/>
        <v>0.85</v>
      </c>
      <c r="G133" s="472">
        <f t="shared" si="13"/>
        <v>30.043999999999997</v>
      </c>
      <c r="H133" s="437"/>
      <c r="I133" s="458">
        <v>200</v>
      </c>
      <c r="J133" s="459">
        <f t="shared" si="14"/>
        <v>0.90265573988470538</v>
      </c>
      <c r="K133" s="437"/>
      <c r="L133" s="437"/>
      <c r="M133" s="437"/>
      <c r="N133" s="437"/>
      <c r="O133" s="437"/>
    </row>
    <row r="134" spans="1:15">
      <c r="A134" s="457">
        <v>4</v>
      </c>
      <c r="B134" s="457">
        <v>3</v>
      </c>
      <c r="C134" s="457">
        <v>3</v>
      </c>
      <c r="D134" s="457">
        <f t="shared" si="10"/>
        <v>5.8</v>
      </c>
      <c r="E134" s="474">
        <f t="shared" si="11"/>
        <v>2.8</v>
      </c>
      <c r="F134" s="473">
        <f t="shared" si="12"/>
        <v>0.7</v>
      </c>
      <c r="G134" s="472">
        <f t="shared" si="13"/>
        <v>27.607999999999997</v>
      </c>
      <c r="H134" s="437"/>
      <c r="I134" s="458">
        <v>200</v>
      </c>
      <c r="J134" s="459">
        <f t="shared" si="14"/>
        <v>0.84619871264875834</v>
      </c>
      <c r="K134" s="437"/>
      <c r="L134" s="437"/>
      <c r="M134" s="437"/>
      <c r="N134" s="437"/>
      <c r="O134" s="437"/>
    </row>
    <row r="135" spans="1:15">
      <c r="A135" s="457">
        <v>4</v>
      </c>
      <c r="B135" s="457">
        <v>3</v>
      </c>
      <c r="C135" s="457">
        <v>4</v>
      </c>
      <c r="D135" s="457">
        <f t="shared" si="10"/>
        <v>5.8</v>
      </c>
      <c r="E135" s="474">
        <f t="shared" si="11"/>
        <v>2.8</v>
      </c>
      <c r="F135" s="473">
        <f t="shared" si="12"/>
        <v>0.45</v>
      </c>
      <c r="G135" s="472">
        <f t="shared" si="13"/>
        <v>23.547999999999998</v>
      </c>
      <c r="H135" s="437"/>
      <c r="I135" s="458">
        <v>200</v>
      </c>
      <c r="J135" s="459">
        <f t="shared" si="14"/>
        <v>0.70333987440131329</v>
      </c>
      <c r="K135" s="437"/>
      <c r="L135" s="437"/>
      <c r="M135" s="437"/>
      <c r="N135" s="437"/>
      <c r="O135" s="437"/>
    </row>
    <row r="136" spans="1:15">
      <c r="A136" s="457">
        <v>4</v>
      </c>
      <c r="B136" s="457">
        <v>4</v>
      </c>
      <c r="C136" s="457">
        <v>1</v>
      </c>
      <c r="D136" s="457">
        <f t="shared" si="10"/>
        <v>5.8</v>
      </c>
      <c r="E136" s="474">
        <f t="shared" si="11"/>
        <v>2.7</v>
      </c>
      <c r="F136" s="473">
        <f t="shared" si="12"/>
        <v>2.1</v>
      </c>
      <c r="G136" s="472">
        <f t="shared" si="13"/>
        <v>48.546000000000006</v>
      </c>
      <c r="H136" s="437"/>
      <c r="I136" s="458">
        <v>200</v>
      </c>
      <c r="J136" s="459">
        <f t="shared" si="14"/>
        <v>1.0070403507169388</v>
      </c>
      <c r="K136" s="437"/>
      <c r="L136" s="437"/>
      <c r="M136" s="437"/>
      <c r="N136" s="437"/>
      <c r="O136" s="437"/>
    </row>
    <row r="137" spans="1:15">
      <c r="A137" s="457">
        <v>4</v>
      </c>
      <c r="B137" s="457">
        <v>4</v>
      </c>
      <c r="C137" s="457">
        <v>2</v>
      </c>
      <c r="D137" s="457">
        <f t="shared" si="10"/>
        <v>5.8</v>
      </c>
      <c r="E137" s="474">
        <f t="shared" si="11"/>
        <v>2.7</v>
      </c>
      <c r="F137" s="473">
        <f t="shared" si="12"/>
        <v>0.85</v>
      </c>
      <c r="G137" s="472">
        <f t="shared" si="13"/>
        <v>28.971</v>
      </c>
      <c r="H137" s="437"/>
      <c r="I137" s="458">
        <v>200</v>
      </c>
      <c r="J137" s="459">
        <f t="shared" si="14"/>
        <v>0.88026173179857026</v>
      </c>
      <c r="K137" s="437"/>
      <c r="L137" s="437"/>
      <c r="M137" s="437"/>
      <c r="N137" s="437"/>
      <c r="O137" s="437"/>
    </row>
    <row r="138" spans="1:15">
      <c r="A138" s="457">
        <v>4</v>
      </c>
      <c r="B138" s="457">
        <v>4</v>
      </c>
      <c r="C138" s="457">
        <v>3</v>
      </c>
      <c r="D138" s="457">
        <f t="shared" si="10"/>
        <v>5.8</v>
      </c>
      <c r="E138" s="474">
        <f t="shared" si="11"/>
        <v>2.7</v>
      </c>
      <c r="F138" s="473">
        <f t="shared" si="12"/>
        <v>0.7</v>
      </c>
      <c r="G138" s="472">
        <f t="shared" si="13"/>
        <v>26.622</v>
      </c>
      <c r="H138" s="437"/>
      <c r="I138" s="458">
        <v>200</v>
      </c>
      <c r="J138" s="459">
        <f t="shared" si="14"/>
        <v>0.81730444988713635</v>
      </c>
      <c r="K138" s="437"/>
      <c r="L138" s="437"/>
      <c r="M138" s="437"/>
      <c r="N138" s="437"/>
      <c r="O138" s="437"/>
    </row>
    <row r="139" spans="1:15">
      <c r="A139" s="457">
        <v>4</v>
      </c>
      <c r="B139" s="457">
        <v>4</v>
      </c>
      <c r="C139" s="457">
        <v>4</v>
      </c>
      <c r="D139" s="457">
        <f t="shared" si="10"/>
        <v>5.8</v>
      </c>
      <c r="E139" s="474">
        <f t="shared" si="11"/>
        <v>2.7</v>
      </c>
      <c r="F139" s="473">
        <f t="shared" si="12"/>
        <v>0.45</v>
      </c>
      <c r="G139" s="472">
        <f t="shared" si="13"/>
        <v>22.707000000000001</v>
      </c>
      <c r="H139" s="437"/>
      <c r="I139" s="458">
        <v>200</v>
      </c>
      <c r="J139" s="459">
        <f t="shared" si="14"/>
        <v>0.66628398077260098</v>
      </c>
      <c r="K139" s="437"/>
      <c r="L139" s="437"/>
      <c r="M139" s="437"/>
      <c r="N139" s="437"/>
      <c r="O139" s="437"/>
    </row>
    <row r="140" spans="1:15">
      <c r="A140" s="457">
        <v>4</v>
      </c>
      <c r="B140" s="457">
        <v>5</v>
      </c>
      <c r="C140" s="457">
        <v>1</v>
      </c>
      <c r="D140" s="457">
        <f t="shared" si="10"/>
        <v>5.8</v>
      </c>
      <c r="E140" s="474">
        <f t="shared" si="11"/>
        <v>1.3</v>
      </c>
      <c r="F140" s="473">
        <f t="shared" si="12"/>
        <v>2.1</v>
      </c>
      <c r="G140" s="472">
        <f t="shared" si="13"/>
        <v>23.374000000000002</v>
      </c>
      <c r="H140" s="437"/>
      <c r="I140" s="458">
        <v>200</v>
      </c>
      <c r="J140" s="459">
        <f t="shared" si="14"/>
        <v>0.69585793133197105</v>
      </c>
      <c r="K140" s="437"/>
      <c r="L140" s="437"/>
      <c r="M140" s="437"/>
      <c r="N140" s="437"/>
      <c r="O140" s="437"/>
    </row>
    <row r="141" spans="1:15">
      <c r="A141" s="457">
        <v>4</v>
      </c>
      <c r="B141" s="457">
        <v>5</v>
      </c>
      <c r="C141" s="457">
        <v>2</v>
      </c>
      <c r="D141" s="457">
        <f t="shared" si="10"/>
        <v>5.8</v>
      </c>
      <c r="E141" s="474">
        <f t="shared" si="11"/>
        <v>1.3</v>
      </c>
      <c r="F141" s="473">
        <f t="shared" si="12"/>
        <v>0.85</v>
      </c>
      <c r="G141" s="472">
        <f t="shared" si="13"/>
        <v>13.949</v>
      </c>
      <c r="H141" s="437"/>
      <c r="I141" s="458">
        <v>200</v>
      </c>
      <c r="J141" s="459">
        <f t="shared" si="14"/>
        <v>0.25419155773729746</v>
      </c>
    </row>
    <row r="142" spans="1:15">
      <c r="A142" s="457">
        <v>4</v>
      </c>
      <c r="B142" s="457">
        <v>5</v>
      </c>
      <c r="C142" s="457">
        <v>3</v>
      </c>
      <c r="D142" s="457">
        <f t="shared" si="10"/>
        <v>5.8</v>
      </c>
      <c r="E142" s="474">
        <f t="shared" si="11"/>
        <v>1.3</v>
      </c>
      <c r="F142" s="473">
        <f t="shared" si="12"/>
        <v>0.7</v>
      </c>
      <c r="G142" s="472">
        <f t="shared" si="13"/>
        <v>12.818</v>
      </c>
      <c r="H142" s="437"/>
      <c r="I142" s="458">
        <v>200</v>
      </c>
      <c r="J142" s="459">
        <f t="shared" si="14"/>
        <v>0.2136162791341448</v>
      </c>
    </row>
    <row r="143" spans="1:15">
      <c r="A143" s="457">
        <v>4</v>
      </c>
      <c r="B143" s="457">
        <v>5</v>
      </c>
      <c r="C143" s="457">
        <v>4</v>
      </c>
      <c r="D143" s="457">
        <f t="shared" si="10"/>
        <v>5.8</v>
      </c>
      <c r="E143" s="474">
        <f t="shared" si="11"/>
        <v>1.3</v>
      </c>
      <c r="F143" s="473">
        <f t="shared" si="12"/>
        <v>0.45</v>
      </c>
      <c r="G143" s="472">
        <f t="shared" si="13"/>
        <v>10.933</v>
      </c>
      <c r="H143" s="437"/>
      <c r="I143" s="458">
        <v>200</v>
      </c>
      <c r="J143" s="459">
        <f t="shared" si="14"/>
        <v>0.1569488156291596</v>
      </c>
    </row>
    <row r="144" spans="1:15">
      <c r="A144" s="437"/>
      <c r="B144" s="437"/>
      <c r="C144" s="437"/>
      <c r="D144" s="437"/>
      <c r="E144" s="437"/>
      <c r="F144" s="437"/>
      <c r="G144" s="437"/>
      <c r="H144" s="437"/>
      <c r="I144" s="460"/>
      <c r="J144" s="461"/>
    </row>
    <row r="145" spans="1:10">
      <c r="A145" s="437"/>
      <c r="B145" s="437"/>
      <c r="C145" s="437"/>
      <c r="D145" s="437"/>
      <c r="E145" s="437"/>
      <c r="F145" s="437"/>
      <c r="G145" s="437"/>
      <c r="H145" s="437"/>
      <c r="I145" s="460"/>
      <c r="J145" s="461"/>
    </row>
    <row r="146" spans="1:10">
      <c r="A146" s="437"/>
      <c r="B146" s="437"/>
      <c r="C146" s="437"/>
      <c r="D146" s="437"/>
      <c r="E146" s="437"/>
      <c r="F146" s="437"/>
      <c r="G146" s="437"/>
      <c r="H146" s="437"/>
      <c r="I146" s="460"/>
      <c r="J146" s="461"/>
    </row>
    <row r="147" spans="1:10">
      <c r="A147" s="437"/>
      <c r="B147" s="437"/>
      <c r="C147" s="437"/>
      <c r="D147" s="437"/>
      <c r="E147" s="437"/>
      <c r="F147" s="437"/>
      <c r="G147" s="437"/>
      <c r="H147" s="437"/>
      <c r="I147" s="460"/>
      <c r="J147" s="461"/>
    </row>
    <row r="148" spans="1:10">
      <c r="A148" s="437"/>
      <c r="B148" s="437"/>
      <c r="C148" s="437"/>
      <c r="D148" s="437"/>
      <c r="E148" s="437"/>
      <c r="F148" s="437"/>
      <c r="G148" s="437"/>
      <c r="H148" s="437"/>
      <c r="I148" s="460"/>
      <c r="J148" s="461"/>
    </row>
    <row r="149" spans="1:10">
      <c r="I149" s="462"/>
      <c r="J149" s="463"/>
    </row>
    <row r="150" spans="1:10">
      <c r="I150" s="462"/>
      <c r="J150" s="463"/>
    </row>
    <row r="151" spans="1:10">
      <c r="I151" s="462"/>
      <c r="J151" s="463"/>
    </row>
    <row r="152" spans="1:10">
      <c r="I152" s="462"/>
      <c r="J152" s="463"/>
    </row>
    <row r="153" spans="1:10">
      <c r="I153" s="462"/>
      <c r="J153" s="463"/>
    </row>
    <row r="154" spans="1:10">
      <c r="I154" s="462"/>
      <c r="J154" s="463"/>
    </row>
    <row r="155" spans="1:10">
      <c r="I155" s="462"/>
      <c r="J155" s="463"/>
    </row>
    <row r="156" spans="1:10">
      <c r="I156" s="462"/>
      <c r="J156" s="463"/>
    </row>
    <row r="157" spans="1:10">
      <c r="I157" s="462"/>
      <c r="J157" s="463"/>
    </row>
    <row r="158" spans="1:10">
      <c r="J158" s="463"/>
    </row>
    <row r="159" spans="1:10">
      <c r="J159" s="463"/>
    </row>
    <row r="160" spans="1:10">
      <c r="J160" s="463"/>
    </row>
    <row r="161" spans="10:10">
      <c r="J161" s="463"/>
    </row>
    <row r="162" spans="10:10">
      <c r="J162" s="463"/>
    </row>
    <row r="163" spans="10:10">
      <c r="J163" s="463"/>
    </row>
    <row r="164" spans="10:10">
      <c r="J164" s="463"/>
    </row>
    <row r="165" spans="10:10">
      <c r="J165" s="463"/>
    </row>
    <row r="166" spans="10:10">
      <c r="J166" s="463"/>
    </row>
    <row r="167" spans="10:10">
      <c r="J167" s="463"/>
    </row>
    <row r="168" spans="10:10">
      <c r="J168" s="463"/>
    </row>
    <row r="169" spans="10:10">
      <c r="J169" s="463"/>
    </row>
    <row r="170" spans="10:10">
      <c r="J170" s="463"/>
    </row>
    <row r="171" spans="10:10">
      <c r="J171" s="463"/>
    </row>
    <row r="172" spans="10:10">
      <c r="J172" s="463"/>
    </row>
    <row r="173" spans="10:10">
      <c r="J173" s="463"/>
    </row>
    <row r="174" spans="10:10">
      <c r="J174" s="463"/>
    </row>
    <row r="175" spans="10:10">
      <c r="J175" s="463"/>
    </row>
    <row r="176" spans="10:10">
      <c r="J176" s="463"/>
    </row>
    <row r="177" spans="10:10">
      <c r="J177" s="463"/>
    </row>
    <row r="178" spans="10:10">
      <c r="J178" s="463"/>
    </row>
    <row r="179" spans="10:10">
      <c r="J179" s="463"/>
    </row>
    <row r="180" spans="10:10">
      <c r="J180" s="463"/>
    </row>
    <row r="181" spans="10:10">
      <c r="J181" s="463"/>
    </row>
    <row r="182" spans="10:10">
      <c r="J182" s="463"/>
    </row>
    <row r="183" spans="10:10">
      <c r="J183" s="463"/>
    </row>
    <row r="184" spans="10:10">
      <c r="J184" s="463"/>
    </row>
    <row r="185" spans="10:10">
      <c r="J185" s="463"/>
    </row>
    <row r="186" spans="10:10">
      <c r="J186" s="463"/>
    </row>
    <row r="187" spans="10:10">
      <c r="J187" s="463"/>
    </row>
    <row r="188" spans="10:10">
      <c r="J188" s="463"/>
    </row>
    <row r="189" spans="10:10">
      <c r="J189" s="463"/>
    </row>
    <row r="190" spans="10:10">
      <c r="J190" s="463"/>
    </row>
    <row r="191" spans="10:10">
      <c r="J191" s="463"/>
    </row>
    <row r="192" spans="10:10">
      <c r="J192" s="463"/>
    </row>
    <row r="193" spans="10:10">
      <c r="J193" s="463"/>
    </row>
    <row r="194" spans="10:10">
      <c r="J194" s="463"/>
    </row>
    <row r="195" spans="10:10">
      <c r="J195" s="463"/>
    </row>
    <row r="196" spans="10:10">
      <c r="J196" s="463"/>
    </row>
    <row r="197" spans="10:10">
      <c r="J197" s="463"/>
    </row>
    <row r="198" spans="10:10">
      <c r="J198" s="463"/>
    </row>
    <row r="199" spans="10:10">
      <c r="J199" s="463"/>
    </row>
  </sheetData>
  <phoneticPr fontId="12" type="noConversion"/>
  <pageMargins left="0.75" right="0.75" top="1" bottom="1" header="0.5" footer="0.5"/>
  <pageSetup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6" tint="-0.249977111117893"/>
  </sheetPr>
  <dimension ref="A1:AE1048"/>
  <sheetViews>
    <sheetView topLeftCell="A43" workbookViewId="0">
      <selection activeCell="L63" sqref="L63"/>
    </sheetView>
  </sheetViews>
  <sheetFormatPr defaultColWidth="8.8984375" defaultRowHeight="11.5"/>
  <cols>
    <col min="1" max="1" width="16.59765625" customWidth="1"/>
    <col min="2" max="2" width="11" customWidth="1"/>
    <col min="3" max="3" width="10.09765625" customWidth="1"/>
    <col min="4" max="4" width="14.69921875" customWidth="1"/>
    <col min="5" max="5" width="7.296875" customWidth="1"/>
    <col min="6" max="6" width="10.09765625" customWidth="1"/>
    <col min="7" max="7" width="10.69921875" customWidth="1"/>
    <col min="8" max="8" width="10.09765625" customWidth="1"/>
    <col min="9" max="9" width="11.3984375" customWidth="1"/>
    <col min="10" max="10" width="11.09765625" customWidth="1"/>
    <col min="11" max="11" width="12.69921875" customWidth="1"/>
    <col min="14" max="14" width="9.3984375" bestFit="1" customWidth="1"/>
    <col min="25" max="25" width="2.69921875" customWidth="1"/>
  </cols>
  <sheetData>
    <row r="1" spans="1:20" ht="15.5">
      <c r="A1" s="59" t="s">
        <v>1074</v>
      </c>
      <c r="B1" s="60"/>
      <c r="C1" s="60"/>
      <c r="D1" s="60"/>
      <c r="E1" s="60"/>
      <c r="F1" s="60"/>
      <c r="H1" s="60"/>
      <c r="I1" s="64" t="s">
        <v>1075</v>
      </c>
      <c r="J1" s="60"/>
      <c r="K1" s="60"/>
      <c r="L1" s="60"/>
      <c r="M1" s="60"/>
      <c r="N1" s="60"/>
    </row>
    <row r="2" spans="1:20">
      <c r="A2" s="61"/>
      <c r="B2" s="61"/>
      <c r="C2" s="61"/>
      <c r="D2" s="61"/>
      <c r="E2" s="61"/>
      <c r="F2" s="61"/>
      <c r="G2" s="62"/>
      <c r="H2" s="62"/>
      <c r="I2" s="62"/>
      <c r="J2" s="62"/>
      <c r="K2" s="61"/>
      <c r="L2" s="61"/>
      <c r="M2" s="61"/>
      <c r="N2" s="61"/>
    </row>
    <row r="3" spans="1:20" ht="13">
      <c r="A3" s="63" t="s">
        <v>1073</v>
      </c>
      <c r="B3" s="61"/>
      <c r="C3" s="61"/>
      <c r="D3" s="61"/>
      <c r="E3" s="64"/>
      <c r="F3" s="61"/>
      <c r="G3" s="62"/>
      <c r="H3" s="62"/>
      <c r="I3" s="62"/>
      <c r="J3" s="62"/>
      <c r="K3" s="61"/>
      <c r="L3" s="61"/>
      <c r="M3" s="61"/>
      <c r="N3" s="61"/>
    </row>
    <row r="4" spans="1:20" ht="12.5">
      <c r="A4" s="65" t="s">
        <v>1115</v>
      </c>
    </row>
    <row r="5" spans="1:20" ht="12.5">
      <c r="A5" s="65" t="s">
        <v>1116</v>
      </c>
    </row>
    <row r="6" spans="1:20" s="61" customFormat="1">
      <c r="A6" s="1" t="s">
        <v>1118</v>
      </c>
      <c r="B6" s="97"/>
      <c r="C6" s="97"/>
      <c r="D6"/>
      <c r="F6"/>
      <c r="G6"/>
      <c r="K6" s="62" t="s">
        <v>1013</v>
      </c>
      <c r="L6" s="61">
        <v>4</v>
      </c>
      <c r="M6" s="61">
        <v>0.5045882002763733</v>
      </c>
    </row>
    <row r="7" spans="1:20">
      <c r="A7" s="1" t="s">
        <v>1119</v>
      </c>
      <c r="B7" s="1"/>
      <c r="C7" s="1"/>
    </row>
    <row r="8" spans="1:20">
      <c r="A8" s="1" t="s">
        <v>616</v>
      </c>
      <c r="D8" t="s">
        <v>1026</v>
      </c>
    </row>
    <row r="9" spans="1:20" ht="12.5">
      <c r="A9" s="591" t="s">
        <v>1117</v>
      </c>
      <c r="B9" s="576"/>
      <c r="C9" s="576"/>
      <c r="D9" s="576"/>
      <c r="E9" s="576"/>
      <c r="F9" s="576"/>
      <c r="G9" s="576"/>
      <c r="M9" t="s">
        <v>522</v>
      </c>
      <c r="O9" t="s">
        <v>1017</v>
      </c>
      <c r="P9" t="s">
        <v>1059</v>
      </c>
      <c r="Q9" t="s">
        <v>891</v>
      </c>
    </row>
    <row r="10" spans="1:20" s="1" customFormat="1" ht="17.149999999999999" customHeight="1">
      <c r="A10" s="514" t="s">
        <v>1156</v>
      </c>
      <c r="B10" s="514"/>
      <c r="C10" s="592"/>
      <c r="D10" s="592"/>
      <c r="E10" s="514"/>
      <c r="F10" s="592"/>
      <c r="G10" s="592"/>
      <c r="H10" s="97"/>
      <c r="I10" s="827" t="s">
        <v>523</v>
      </c>
      <c r="J10" s="827"/>
      <c r="K10" s="97"/>
      <c r="M10" s="826">
        <v>4.0000000000000001E-3</v>
      </c>
      <c r="N10" s="1">
        <f t="shared" ref="N10:N21" si="0">IF(AND(M10&lt;0.17,M10,O10),1,IF(M10&lt;=0.1,1,T10*M10+U10))</f>
        <v>1</v>
      </c>
      <c r="O10" s="1">
        <v>7.7</v>
      </c>
      <c r="P10" s="1">
        <v>-0.4</v>
      </c>
      <c r="Q10" s="1">
        <v>-37</v>
      </c>
      <c r="R10" s="97"/>
      <c r="S10" s="97"/>
      <c r="T10" s="97"/>
    </row>
    <row r="11" spans="1:20" ht="16" customHeight="1" thickBot="1">
      <c r="A11" s="592" t="s">
        <v>1120</v>
      </c>
      <c r="B11" s="593"/>
      <c r="C11" s="576"/>
      <c r="D11" s="576"/>
      <c r="E11" s="593"/>
      <c r="F11" s="576"/>
      <c r="G11" s="593"/>
      <c r="H11" s="61"/>
      <c r="I11" s="61"/>
      <c r="K11" s="61"/>
      <c r="L11" t="s">
        <v>951</v>
      </c>
      <c r="M11" s="826">
        <v>5.0000000000000001E-3</v>
      </c>
      <c r="N11" s="1">
        <f t="shared" si="0"/>
        <v>1</v>
      </c>
      <c r="O11" s="1">
        <v>1.9</v>
      </c>
      <c r="P11" s="1">
        <v>-0.4</v>
      </c>
      <c r="Q11" s="1">
        <v>-37</v>
      </c>
      <c r="R11" s="61"/>
      <c r="S11" s="61"/>
      <c r="T11" s="61"/>
    </row>
    <row r="12" spans="1:20" ht="16" customHeight="1" thickBot="1">
      <c r="A12" s="592" t="s">
        <v>316</v>
      </c>
      <c r="B12" s="593"/>
      <c r="C12" s="576"/>
      <c r="D12" s="576"/>
      <c r="E12" s="593"/>
      <c r="F12" s="576"/>
      <c r="G12" s="593"/>
      <c r="H12" s="61"/>
      <c r="I12" s="61"/>
      <c r="K12" s="590" t="s">
        <v>317</v>
      </c>
      <c r="M12" s="826">
        <v>0.01</v>
      </c>
      <c r="N12" s="1">
        <f t="shared" si="0"/>
        <v>1</v>
      </c>
      <c r="O12" s="1">
        <v>1.9</v>
      </c>
      <c r="P12" s="1">
        <v>-0.4</v>
      </c>
      <c r="Q12" s="1">
        <v>-37</v>
      </c>
      <c r="R12" s="61"/>
      <c r="S12" s="61"/>
      <c r="T12" s="61"/>
    </row>
    <row r="13" spans="1:20">
      <c r="A13" s="575" t="s">
        <v>1157</v>
      </c>
      <c r="B13" s="576"/>
      <c r="C13" s="576"/>
      <c r="D13" s="576"/>
      <c r="E13" s="576"/>
      <c r="F13" s="576"/>
      <c r="G13" s="576"/>
      <c r="M13" s="826">
        <v>1.4999999999999999E-2</v>
      </c>
      <c r="N13" s="1">
        <f t="shared" si="0"/>
        <v>1</v>
      </c>
      <c r="O13" s="1">
        <v>1.9</v>
      </c>
      <c r="P13" s="1">
        <v>-0.4</v>
      </c>
      <c r="Q13" s="1">
        <v>-37</v>
      </c>
    </row>
    <row r="14" spans="1:20" ht="18" thickBot="1">
      <c r="A14" s="97" t="s">
        <v>617</v>
      </c>
      <c r="M14" s="826">
        <v>1.7000000000000001E-2</v>
      </c>
      <c r="N14" s="1">
        <f t="shared" si="0"/>
        <v>1</v>
      </c>
      <c r="O14" s="1">
        <v>1.9</v>
      </c>
      <c r="P14" s="1">
        <v>-0.4</v>
      </c>
      <c r="Q14" s="1">
        <v>-37</v>
      </c>
    </row>
    <row r="15" spans="1:20" ht="12.5">
      <c r="A15" s="577" t="s">
        <v>1158</v>
      </c>
      <c r="B15" s="576"/>
      <c r="C15" s="576"/>
      <c r="D15" s="576"/>
      <c r="E15" s="576"/>
      <c r="F15" s="576"/>
      <c r="K15" s="185" t="s">
        <v>634</v>
      </c>
      <c r="L15" s="186" t="s">
        <v>957</v>
      </c>
      <c r="M15" s="826">
        <v>1.7999999999999999E-2</v>
      </c>
      <c r="N15" s="1">
        <f t="shared" si="0"/>
        <v>1</v>
      </c>
      <c r="O15" s="1">
        <v>1.9</v>
      </c>
      <c r="P15" s="1">
        <v>-0.4</v>
      </c>
      <c r="Q15" s="1">
        <v>-37</v>
      </c>
    </row>
    <row r="16" spans="1:20" ht="12.5">
      <c r="A16" s="121" t="s">
        <v>1155</v>
      </c>
      <c r="K16" s="187" t="s">
        <v>635</v>
      </c>
      <c r="L16" s="188">
        <v>1</v>
      </c>
      <c r="M16" s="826">
        <v>0.05</v>
      </c>
      <c r="N16" s="1">
        <f t="shared" si="0"/>
        <v>1</v>
      </c>
      <c r="O16" s="1">
        <v>1.9</v>
      </c>
      <c r="P16" s="1">
        <v>-0.4</v>
      </c>
      <c r="Q16" s="1">
        <v>-37</v>
      </c>
    </row>
    <row r="17" spans="1:20" ht="14" thickBot="1">
      <c r="A17" s="577" t="s">
        <v>1121</v>
      </c>
      <c r="B17" s="576"/>
      <c r="C17" s="576"/>
      <c r="D17" s="576"/>
      <c r="E17" s="576"/>
      <c r="F17" s="576"/>
      <c r="G17" s="576"/>
      <c r="H17" s="576"/>
      <c r="K17" s="190" t="s">
        <v>636</v>
      </c>
      <c r="L17" s="189">
        <v>2</v>
      </c>
      <c r="M17" s="826">
        <v>0.1</v>
      </c>
      <c r="N17" s="1">
        <f t="shared" si="0"/>
        <v>1</v>
      </c>
      <c r="O17" s="1">
        <v>1.9</v>
      </c>
      <c r="P17" s="1">
        <v>-0.4</v>
      </c>
      <c r="Q17" s="1">
        <v>-37</v>
      </c>
    </row>
    <row r="18" spans="1:20">
      <c r="A18" s="577" t="s">
        <v>613</v>
      </c>
      <c r="B18" s="576"/>
      <c r="C18" s="576"/>
      <c r="D18" s="576"/>
      <c r="M18" s="826">
        <v>1</v>
      </c>
      <c r="N18" s="1">
        <f t="shared" si="0"/>
        <v>0</v>
      </c>
      <c r="O18" s="1">
        <v>1.9</v>
      </c>
      <c r="P18" s="1">
        <v>-0.4</v>
      </c>
      <c r="Q18" s="1">
        <v>-37</v>
      </c>
    </row>
    <row r="19" spans="1:20">
      <c r="A19" s="121" t="s">
        <v>318</v>
      </c>
      <c r="H19" s="3"/>
      <c r="M19" s="826">
        <v>2</v>
      </c>
      <c r="N19" s="1">
        <f t="shared" si="0"/>
        <v>0</v>
      </c>
      <c r="O19" s="1">
        <v>1.9</v>
      </c>
      <c r="P19" s="1">
        <v>-0.4</v>
      </c>
      <c r="Q19" s="1">
        <v>-37</v>
      </c>
    </row>
    <row r="20" spans="1:20" ht="17.5">
      <c r="A20" s="131" t="s">
        <v>614</v>
      </c>
      <c r="B20" s="1" t="s">
        <v>615</v>
      </c>
      <c r="C20" s="1"/>
      <c r="D20" s="1"/>
      <c r="E20" s="1"/>
      <c r="F20" s="1"/>
      <c r="M20" s="826">
        <v>5</v>
      </c>
      <c r="N20" s="1">
        <f t="shared" si="0"/>
        <v>0</v>
      </c>
      <c r="O20" s="1">
        <v>1.9</v>
      </c>
      <c r="P20" s="1">
        <v>-0.4</v>
      </c>
      <c r="Q20" s="1">
        <v>-37</v>
      </c>
    </row>
    <row r="21" spans="1:20">
      <c r="A21" s="131"/>
      <c r="B21" s="1"/>
      <c r="C21" s="1"/>
      <c r="D21" s="1"/>
      <c r="E21" s="1"/>
      <c r="F21" s="1"/>
      <c r="M21" s="826">
        <v>10</v>
      </c>
      <c r="N21" s="1">
        <f t="shared" si="0"/>
        <v>0</v>
      </c>
      <c r="O21" s="1">
        <v>1.9</v>
      </c>
      <c r="P21" s="1">
        <v>-0.4</v>
      </c>
      <c r="Q21" s="1">
        <v>-37</v>
      </c>
    </row>
    <row r="22" spans="1:20">
      <c r="A22" s="121" t="s">
        <v>420</v>
      </c>
      <c r="B22" s="1"/>
      <c r="C22" s="1"/>
      <c r="D22" s="1"/>
      <c r="E22" s="1"/>
      <c r="F22" s="1"/>
      <c r="G22" s="1"/>
      <c r="H22" s="1"/>
      <c r="I22" s="1"/>
      <c r="J22" s="1"/>
    </row>
    <row r="23" spans="1:20" s="2" customFormat="1">
      <c r="A23" s="123"/>
      <c r="B23" s="93"/>
      <c r="C23" s="93"/>
      <c r="D23" s="93"/>
      <c r="E23" s="93"/>
      <c r="F23" s="93"/>
      <c r="G23" s="93"/>
      <c r="H23" s="93"/>
      <c r="I23" s="93"/>
      <c r="J23" s="93"/>
      <c r="K23" s="93"/>
      <c r="L23" s="93"/>
      <c r="M23" s="93"/>
      <c r="N23" s="93"/>
      <c r="O23" s="93"/>
      <c r="P23" s="93"/>
      <c r="Q23" s="93"/>
      <c r="R23" s="93"/>
      <c r="S23" s="93"/>
      <c r="T23" s="93"/>
    </row>
    <row r="24" spans="1:20" ht="12" thickBot="1">
      <c r="A24" s="2" t="s">
        <v>1026</v>
      </c>
    </row>
    <row r="25" spans="1:20" s="2" customFormat="1" ht="13">
      <c r="A25" s="83" t="s">
        <v>1090</v>
      </c>
      <c r="D25" s="65" t="s">
        <v>1044</v>
      </c>
      <c r="G25" s="127" t="s">
        <v>1054</v>
      </c>
      <c r="H25" s="128"/>
      <c r="I25" s="129"/>
      <c r="N25" s="566"/>
    </row>
    <row r="26" spans="1:20" s="67" customFormat="1" ht="13">
      <c r="G26" s="124" t="s">
        <v>845</v>
      </c>
      <c r="H26" s="2"/>
      <c r="I26" s="126"/>
      <c r="N26" s="567"/>
      <c r="R26" s="61"/>
      <c r="S26" s="61"/>
      <c r="T26" s="61"/>
    </row>
    <row r="27" spans="1:20" s="61" customFormat="1" ht="12.5">
      <c r="A27" s="98" t="s">
        <v>843</v>
      </c>
      <c r="B27" s="99"/>
      <c r="C27" s="99"/>
      <c r="D27" s="99"/>
      <c r="E27" s="99"/>
      <c r="F27" s="99"/>
      <c r="G27" s="124" t="s">
        <v>846</v>
      </c>
      <c r="H27" s="2"/>
      <c r="I27" s="126"/>
      <c r="L27"/>
      <c r="M27"/>
      <c r="N27" s="539"/>
    </row>
    <row r="28" spans="1:20" s="61" customFormat="1" ht="13">
      <c r="A28" s="101" t="s">
        <v>1047</v>
      </c>
      <c r="B28" s="568" t="s">
        <v>1008</v>
      </c>
      <c r="C28" s="568" t="s">
        <v>1017</v>
      </c>
      <c r="D28" s="569" t="s">
        <v>1159</v>
      </c>
      <c r="E28" s="569" t="s">
        <v>1059</v>
      </c>
      <c r="G28" s="124"/>
      <c r="H28" s="62"/>
      <c r="I28" s="125"/>
      <c r="L28"/>
      <c r="M28"/>
      <c r="N28" s="539"/>
    </row>
    <row r="29" spans="1:20" s="61" customFormat="1" ht="13.5">
      <c r="A29" s="113" t="s">
        <v>611</v>
      </c>
      <c r="B29" s="118">
        <v>1</v>
      </c>
      <c r="C29" s="572">
        <v>1</v>
      </c>
      <c r="D29" s="572">
        <v>19</v>
      </c>
      <c r="E29" s="572">
        <f>(0.5091-161.58*D29)/(1+484.2*D29-16.14*POWER(D29,2))</f>
        <v>-0.9096841677879004</v>
      </c>
      <c r="G29" s="124" t="s">
        <v>844</v>
      </c>
      <c r="H29" s="62"/>
      <c r="I29" s="125"/>
      <c r="N29" s="539"/>
    </row>
    <row r="30" spans="1:20" s="61" customFormat="1">
      <c r="A30" s="62" t="s">
        <v>1032</v>
      </c>
      <c r="B30" s="118">
        <v>3</v>
      </c>
      <c r="C30" s="572">
        <v>3.9</v>
      </c>
      <c r="D30" s="572">
        <v>5.3</v>
      </c>
      <c r="E30" s="572">
        <f>(0.5091-161.58*D30)/(1+484.2*D30-16.14*POWER(D30,2))</f>
        <v>-0.40487724180578405</v>
      </c>
      <c r="G30" s="124" t="s">
        <v>1026</v>
      </c>
      <c r="H30" s="62"/>
      <c r="I30" s="125"/>
      <c r="N30" s="539"/>
      <c r="R30"/>
      <c r="S30"/>
      <c r="T30"/>
    </row>
    <row r="31" spans="1:20" s="61" customFormat="1">
      <c r="A31" t="s">
        <v>1027</v>
      </c>
      <c r="B31" s="69">
        <v>4</v>
      </c>
      <c r="C31" s="572"/>
      <c r="D31" s="572"/>
      <c r="E31" s="572"/>
      <c r="G31" s="124" t="s">
        <v>1050</v>
      </c>
      <c r="H31" s="62"/>
      <c r="I31" s="125"/>
      <c r="N31" s="539"/>
      <c r="R31"/>
      <c r="S31"/>
      <c r="T31"/>
    </row>
    <row r="32" spans="1:20" s="61" customFormat="1" ht="12.5">
      <c r="A32" s="62" t="s">
        <v>1037</v>
      </c>
      <c r="B32" s="118">
        <v>5</v>
      </c>
      <c r="C32" s="572">
        <v>5</v>
      </c>
      <c r="D32" s="572">
        <v>20</v>
      </c>
      <c r="E32" s="572">
        <f t="shared" ref="E32:E37" si="1">(0.5091-161.58*D32)/(1+484.2*D32-16.14*POWER(D32,2))</f>
        <v>-1.000647537937442</v>
      </c>
      <c r="G32" s="124" t="s">
        <v>1052</v>
      </c>
      <c r="H32" s="62"/>
      <c r="I32" s="125"/>
      <c r="R32" s="116"/>
      <c r="S32" s="116"/>
      <c r="T32" s="116"/>
    </row>
    <row r="33" spans="1:21" s="61" customFormat="1" ht="12.5">
      <c r="A33" s="62" t="s">
        <v>1038</v>
      </c>
      <c r="B33" s="118">
        <v>6</v>
      </c>
      <c r="C33" s="572">
        <v>2.5</v>
      </c>
      <c r="D33" s="572">
        <v>9.9</v>
      </c>
      <c r="E33" s="572">
        <f>(0.5091-161.58*D33)/(1+484.2*D33-16.14*POWER(D33,2))</f>
        <v>-0.49775378866850456</v>
      </c>
      <c r="G33" s="124" t="s">
        <v>1053</v>
      </c>
      <c r="H33" s="2"/>
      <c r="I33" s="126"/>
      <c r="R33" s="116"/>
      <c r="S33" s="116"/>
      <c r="T33" s="116"/>
    </row>
    <row r="34" spans="1:21" ht="13" thickBot="1">
      <c r="A34" s="62" t="s">
        <v>1034</v>
      </c>
      <c r="B34" s="118">
        <v>7</v>
      </c>
      <c r="C34" s="572">
        <v>6</v>
      </c>
      <c r="D34" s="572">
        <v>7.1</v>
      </c>
      <c r="E34" s="572">
        <f t="shared" si="1"/>
        <v>-0.43680777247439884</v>
      </c>
      <c r="G34" s="124" t="s">
        <v>1051</v>
      </c>
      <c r="H34" s="2"/>
      <c r="I34" s="126"/>
      <c r="R34" s="116"/>
      <c r="S34" s="116"/>
      <c r="T34" s="116"/>
    </row>
    <row r="35" spans="1:21" ht="12.5">
      <c r="A35" s="140" t="s">
        <v>1048</v>
      </c>
      <c r="B35" s="570">
        <v>8.1</v>
      </c>
      <c r="C35" s="573">
        <v>12</v>
      </c>
      <c r="D35" s="573">
        <v>10</v>
      </c>
      <c r="E35" s="573">
        <f t="shared" si="1"/>
        <v>-0.50024493651285229</v>
      </c>
      <c r="G35" s="147"/>
      <c r="H35" s="144"/>
      <c r="I35" s="148"/>
      <c r="L35" s="541"/>
      <c r="M35" s="128"/>
      <c r="N35" s="128"/>
      <c r="O35" s="128"/>
      <c r="P35" s="128"/>
      <c r="Q35" s="128"/>
      <c r="R35" s="128"/>
      <c r="S35" s="128"/>
      <c r="T35" s="128"/>
      <c r="U35" s="129"/>
    </row>
    <row r="36" spans="1:21" s="141" customFormat="1" ht="13" thickBot="1">
      <c r="A36" s="140" t="s">
        <v>1049</v>
      </c>
      <c r="B36" s="570">
        <v>8.1999999999999993</v>
      </c>
      <c r="C36" s="573">
        <v>18</v>
      </c>
      <c r="D36" s="573">
        <v>50</v>
      </c>
      <c r="E36" s="573">
        <f t="shared" si="1"/>
        <v>0.50055709151744221</v>
      </c>
      <c r="G36" s="130" t="s">
        <v>1162</v>
      </c>
      <c r="H36" s="149"/>
      <c r="I36" s="150"/>
      <c r="L36" s="144" t="s">
        <v>308</v>
      </c>
      <c r="M36" s="144"/>
      <c r="N36" s="144"/>
      <c r="O36" s="144">
        <v>5</v>
      </c>
      <c r="P36" s="144">
        <v>0</v>
      </c>
      <c r="Q36" s="571" t="s">
        <v>849</v>
      </c>
      <c r="R36" s="142">
        <v>8.1325000000000003</v>
      </c>
      <c r="S36" s="595"/>
      <c r="T36" s="595"/>
      <c r="U36" s="148"/>
    </row>
    <row r="37" spans="1:21" s="141" customFormat="1" ht="12.5">
      <c r="A37" s="144" t="s">
        <v>842</v>
      </c>
      <c r="B37" s="571">
        <v>8.3000000000000007</v>
      </c>
      <c r="C37" s="573">
        <v>16</v>
      </c>
      <c r="D37" s="574">
        <v>25</v>
      </c>
      <c r="E37" s="573">
        <f t="shared" si="1"/>
        <v>-2.0009863264800596</v>
      </c>
      <c r="G37" s="146"/>
      <c r="H37" s="110"/>
      <c r="L37" s="594"/>
      <c r="M37" s="144"/>
      <c r="N37" s="144"/>
      <c r="O37" s="144">
        <v>6</v>
      </c>
      <c r="P37" s="144">
        <v>10</v>
      </c>
      <c r="Q37" s="571" t="s">
        <v>863</v>
      </c>
      <c r="R37" s="142">
        <v>-37.11</v>
      </c>
      <c r="S37" s="595"/>
      <c r="T37" s="595"/>
      <c r="U37" s="148"/>
    </row>
    <row r="38" spans="1:21" s="141" customFormat="1" ht="12.5">
      <c r="A38" s="61" t="s">
        <v>768</v>
      </c>
      <c r="B38" s="69">
        <v>8</v>
      </c>
      <c r="C38" s="573"/>
      <c r="D38" s="574"/>
      <c r="E38" s="573"/>
      <c r="G38" s="146"/>
      <c r="H38" s="110"/>
      <c r="L38" s="594"/>
      <c r="M38" s="144"/>
      <c r="N38" s="549"/>
      <c r="O38" s="144">
        <v>7</v>
      </c>
      <c r="P38" s="144">
        <v>25</v>
      </c>
      <c r="Q38" s="144"/>
      <c r="R38" s="595"/>
      <c r="S38" s="595"/>
      <c r="T38" s="595"/>
      <c r="U38" s="148"/>
    </row>
    <row r="39" spans="1:21" s="141" customFormat="1" ht="12.5">
      <c r="A39" s="61" t="s">
        <v>638</v>
      </c>
      <c r="B39" s="69">
        <v>9</v>
      </c>
      <c r="C39" s="573"/>
      <c r="D39" s="574"/>
      <c r="E39" s="573"/>
      <c r="G39" s="146"/>
      <c r="H39" s="110"/>
      <c r="L39" s="594"/>
      <c r="M39" s="144"/>
      <c r="N39" s="549"/>
      <c r="O39" s="144">
        <v>11</v>
      </c>
      <c r="P39" s="144">
        <v>50</v>
      </c>
      <c r="Q39" s="144"/>
      <c r="R39" s="595"/>
      <c r="S39" s="595"/>
      <c r="T39" s="595"/>
      <c r="U39" s="148"/>
    </row>
    <row r="40" spans="1:21" s="141" customFormat="1" ht="12.5">
      <c r="A40" t="s">
        <v>298</v>
      </c>
      <c r="B40" s="69">
        <v>10</v>
      </c>
      <c r="C40" s="573"/>
      <c r="D40" s="574"/>
      <c r="E40" s="573"/>
      <c r="G40" s="146"/>
      <c r="H40" s="110"/>
      <c r="L40" s="594"/>
      <c r="M40" s="144"/>
      <c r="N40" s="549"/>
      <c r="P40" s="144"/>
      <c r="Q40" s="549" t="s">
        <v>315</v>
      </c>
      <c r="R40" s="144"/>
      <c r="S40" s="144"/>
      <c r="T40" s="595"/>
      <c r="U40" s="148"/>
    </row>
    <row r="41" spans="1:21" s="141" customFormat="1" ht="12.5">
      <c r="A41" t="s">
        <v>299</v>
      </c>
      <c r="B41" s="69">
        <v>11</v>
      </c>
      <c r="C41" s="573"/>
      <c r="D41" s="574"/>
      <c r="E41" s="573"/>
      <c r="G41" s="146"/>
      <c r="H41" s="110"/>
      <c r="L41" s="594"/>
      <c r="M41" s="144"/>
      <c r="N41" s="549"/>
      <c r="O41" s="144"/>
      <c r="P41" s="144"/>
      <c r="Q41" s="144"/>
      <c r="R41" s="595"/>
      <c r="S41" s="595"/>
      <c r="T41" s="595"/>
      <c r="U41" s="148"/>
    </row>
    <row r="42" spans="1:21" s="141" customFormat="1" ht="12.5">
      <c r="A42" s="141" t="s">
        <v>314</v>
      </c>
      <c r="B42" s="570">
        <v>12</v>
      </c>
      <c r="C42" s="573"/>
      <c r="D42" s="574"/>
      <c r="E42" s="573"/>
      <c r="G42" s="146"/>
      <c r="H42" s="110"/>
      <c r="L42" s="543"/>
      <c r="M42" s="2"/>
      <c r="N42" s="566"/>
      <c r="O42" s="2"/>
      <c r="P42" s="62"/>
      <c r="Q42" s="62"/>
      <c r="R42" s="62"/>
      <c r="S42" s="62"/>
      <c r="T42" s="62"/>
      <c r="U42" s="125"/>
    </row>
    <row r="43" spans="1:21" s="141" customFormat="1" ht="12.5">
      <c r="A43" s="141" t="s">
        <v>302</v>
      </c>
      <c r="B43" s="570">
        <v>13</v>
      </c>
      <c r="C43" s="573"/>
      <c r="D43" s="574"/>
      <c r="E43" s="573"/>
      <c r="G43" s="146"/>
      <c r="H43" s="110"/>
      <c r="L43" s="124"/>
      <c r="M43" s="62"/>
      <c r="N43" s="62"/>
      <c r="O43" s="62"/>
      <c r="P43" s="62"/>
      <c r="Q43" s="62"/>
      <c r="R43" s="62"/>
      <c r="S43" s="62"/>
      <c r="T43" s="62"/>
      <c r="U43" s="125"/>
    </row>
    <row r="44" spans="1:21" s="141" customFormat="1" ht="13">
      <c r="A44" s="144" t="s">
        <v>960</v>
      </c>
      <c r="B44" s="571">
        <v>14</v>
      </c>
      <c r="C44" s="573"/>
      <c r="D44" s="574"/>
      <c r="E44" s="573"/>
      <c r="G44" s="146"/>
      <c r="H44" s="110"/>
      <c r="L44" s="596"/>
      <c r="M44" s="62"/>
      <c r="N44" s="62"/>
      <c r="O44" s="62"/>
      <c r="P44" s="62"/>
      <c r="Q44" s="62"/>
      <c r="R44" s="62"/>
      <c r="S44" s="62"/>
      <c r="T44" s="62"/>
      <c r="U44" s="125"/>
    </row>
    <row r="45" spans="1:21" s="141" customFormat="1" ht="13" thickBot="1">
      <c r="A45" s="144"/>
      <c r="B45" s="571"/>
      <c r="C45" s="573"/>
      <c r="D45" s="574"/>
      <c r="E45" s="573"/>
      <c r="G45" s="146"/>
      <c r="H45" s="110"/>
      <c r="L45" s="124"/>
      <c r="M45" s="62"/>
      <c r="N45" s="62"/>
      <c r="O45" s="62"/>
      <c r="P45" s="62"/>
      <c r="Q45" s="62"/>
      <c r="R45" s="62"/>
      <c r="S45" s="62"/>
      <c r="T45" s="62"/>
      <c r="U45" s="125"/>
    </row>
    <row r="46" spans="1:21" s="61" customFormat="1" ht="13" thickBot="1">
      <c r="B46" s="141"/>
      <c r="C46" s="799" t="s">
        <v>461</v>
      </c>
      <c r="D46" s="800"/>
      <c r="E46" s="800"/>
      <c r="F46" s="800"/>
      <c r="G46" s="801"/>
      <c r="H46" s="110"/>
      <c r="I46" s="141"/>
      <c r="J46" s="141"/>
      <c r="K46" s="141"/>
      <c r="L46" s="124"/>
      <c r="M46" s="62"/>
      <c r="N46" s="62"/>
      <c r="O46" s="62"/>
      <c r="P46" s="62"/>
      <c r="Q46" s="62"/>
      <c r="R46" s="62"/>
      <c r="S46" s="62"/>
      <c r="T46" s="62"/>
      <c r="U46" s="125"/>
    </row>
    <row r="47" spans="1:21" s="61" customFormat="1" ht="15.5">
      <c r="A47" s="99" t="s">
        <v>841</v>
      </c>
      <c r="B47" s="141" t="s">
        <v>419</v>
      </c>
      <c r="C47" s="99"/>
      <c r="H47" s="110"/>
      <c r="I47" s="141"/>
      <c r="J47" s="141"/>
      <c r="K47" s="141"/>
      <c r="L47" s="124"/>
      <c r="M47" s="62"/>
      <c r="N47" s="62"/>
      <c r="O47" s="62"/>
      <c r="P47" s="62"/>
      <c r="Q47" s="62"/>
      <c r="R47" s="62"/>
      <c r="S47" s="62"/>
      <c r="T47" s="62"/>
      <c r="U47" s="125"/>
    </row>
    <row r="48" spans="1:21" s="61" customFormat="1" ht="16" thickBot="1">
      <c r="A48" s="101" t="s">
        <v>1047</v>
      </c>
      <c r="B48" s="568" t="s">
        <v>957</v>
      </c>
      <c r="C48" s="568" t="s">
        <v>1045</v>
      </c>
      <c r="D48" s="569" t="s">
        <v>1161</v>
      </c>
      <c r="E48" s="569" t="s">
        <v>1159</v>
      </c>
      <c r="F48" s="569" t="s">
        <v>1059</v>
      </c>
      <c r="I48" s="99" t="s">
        <v>840</v>
      </c>
      <c r="J48" s="99"/>
      <c r="K48"/>
      <c r="L48" s="124"/>
      <c r="M48" s="62"/>
      <c r="N48" s="62"/>
      <c r="O48" s="62"/>
      <c r="P48" s="62"/>
      <c r="Q48" s="62"/>
      <c r="R48" s="62"/>
      <c r="S48" s="62"/>
      <c r="T48" s="62"/>
      <c r="U48" s="125"/>
    </row>
    <row r="49" spans="1:21" s="61" customFormat="1" ht="15">
      <c r="A49" s="793" t="s">
        <v>960</v>
      </c>
      <c r="B49" s="737">
        <v>1</v>
      </c>
      <c r="C49" s="792">
        <v>7.7</v>
      </c>
      <c r="D49" s="718">
        <f>C49/1.77</f>
        <v>4.3502824858757059</v>
      </c>
      <c r="E49" s="791">
        <v>5.2</v>
      </c>
      <c r="F49" s="726">
        <f>(0.5091-161.58*E49)/(1+484.2*E49-16.14*POWER(E49,2))</f>
        <v>-0.4032371750790813</v>
      </c>
      <c r="H49" s="101" t="s">
        <v>866</v>
      </c>
      <c r="I49" s="101" t="s">
        <v>1134</v>
      </c>
      <c r="J49" s="100" t="s">
        <v>839</v>
      </c>
      <c r="L49" s="124"/>
      <c r="M49" s="62"/>
      <c r="N49" s="62"/>
      <c r="O49" s="62"/>
      <c r="P49" s="62"/>
      <c r="Q49" s="62"/>
      <c r="R49" s="62"/>
      <c r="S49" s="62"/>
      <c r="T49" s="62"/>
      <c r="U49" s="125"/>
    </row>
    <row r="50" spans="1:21" s="61" customFormat="1" ht="13">
      <c r="A50" s="793" t="s">
        <v>1033</v>
      </c>
      <c r="B50" s="790">
        <v>2</v>
      </c>
      <c r="C50" s="718">
        <v>2.5</v>
      </c>
      <c r="D50" s="718">
        <f>C50/1.77</f>
        <v>1.4124293785310735</v>
      </c>
      <c r="E50" s="789">
        <v>10</v>
      </c>
      <c r="F50" s="788">
        <f t="shared" ref="F50:F65" si="2">(0.5091-161.58*E50)/(1+484.2*E50-16.14*POWER(E50,2))</f>
        <v>-0.50024493651285229</v>
      </c>
      <c r="G50" s="134"/>
      <c r="H50" s="101"/>
      <c r="I50" s="101"/>
      <c r="J50" s="100"/>
      <c r="L50" s="124"/>
      <c r="M50" s="62"/>
      <c r="N50" s="62"/>
      <c r="O50" s="62"/>
      <c r="P50" s="62"/>
      <c r="Q50" s="62"/>
      <c r="R50" s="62"/>
      <c r="S50" s="62"/>
      <c r="T50" s="62"/>
      <c r="U50" s="125"/>
    </row>
    <row r="51" spans="1:21" s="61" customFormat="1" ht="12.5">
      <c r="A51" s="633" t="s">
        <v>1032</v>
      </c>
      <c r="B51" s="704">
        <v>3</v>
      </c>
      <c r="C51" s="705">
        <v>3.9</v>
      </c>
      <c r="D51" s="705">
        <f>C51/1.77</f>
        <v>2.2033898305084745</v>
      </c>
      <c r="E51" s="651">
        <v>5.3</v>
      </c>
      <c r="F51" s="706">
        <f t="shared" si="2"/>
        <v>-0.40487724180578405</v>
      </c>
      <c r="G51" s="134"/>
      <c r="H51" s="62">
        <v>1</v>
      </c>
      <c r="I51" s="62">
        <v>1</v>
      </c>
      <c r="J51" s="117">
        <f>J$57*I51</f>
        <v>0.6</v>
      </c>
      <c r="L51" s="124"/>
      <c r="M51" s="62"/>
      <c r="N51" s="62"/>
      <c r="O51" s="62"/>
      <c r="P51" s="62"/>
      <c r="Q51" s="62"/>
      <c r="R51" s="62"/>
      <c r="S51" s="62"/>
      <c r="T51" s="62"/>
      <c r="U51" s="125"/>
    </row>
    <row r="52" spans="1:21" s="61" customFormat="1" ht="13">
      <c r="A52" s="633" t="s">
        <v>402</v>
      </c>
      <c r="B52" s="704">
        <v>4</v>
      </c>
      <c r="C52" s="705">
        <v>6</v>
      </c>
      <c r="D52" s="705">
        <f>C52/1.77</f>
        <v>3.3898305084745761</v>
      </c>
      <c r="E52" s="651">
        <v>10</v>
      </c>
      <c r="F52" s="706">
        <f t="shared" si="2"/>
        <v>-0.50024493651285229</v>
      </c>
      <c r="G52" s="134"/>
      <c r="H52" s="62">
        <v>2</v>
      </c>
      <c r="I52" s="62">
        <v>1.07</v>
      </c>
      <c r="J52" s="117">
        <f>J$57*I52</f>
        <v>0.64200000000000002</v>
      </c>
      <c r="K52" s="62"/>
      <c r="L52" s="124"/>
      <c r="M52" s="62"/>
      <c r="N52" s="62"/>
      <c r="O52" s="62"/>
      <c r="P52" s="62"/>
      <c r="Q52" s="68"/>
      <c r="R52" s="68"/>
      <c r="S52" s="68"/>
      <c r="T52" s="62"/>
      <c r="U52" s="125"/>
    </row>
    <row r="53" spans="1:21" s="61" customFormat="1" ht="13">
      <c r="A53" s="633" t="s">
        <v>1037</v>
      </c>
      <c r="B53" s="704">
        <v>5</v>
      </c>
      <c r="C53" s="705">
        <v>5</v>
      </c>
      <c r="D53" s="705">
        <v>2.8</v>
      </c>
      <c r="E53" s="651">
        <v>20</v>
      </c>
      <c r="F53" s="706">
        <f t="shared" si="2"/>
        <v>-1.000647537937442</v>
      </c>
      <c r="G53" s="134"/>
      <c r="H53" s="62">
        <v>3</v>
      </c>
      <c r="I53" s="62">
        <v>1.18</v>
      </c>
      <c r="J53" s="117">
        <f>J$57*I53</f>
        <v>0.70799999999999996</v>
      </c>
      <c r="K53"/>
      <c r="L53" s="124"/>
      <c r="M53" s="62"/>
      <c r="N53" s="62"/>
      <c r="O53" s="62"/>
      <c r="P53" s="62"/>
      <c r="Q53" s="68"/>
      <c r="R53" s="68"/>
      <c r="S53" s="68"/>
      <c r="T53" s="62"/>
      <c r="U53" s="125"/>
    </row>
    <row r="54" spans="1:21" s="61" customFormat="1" ht="13">
      <c r="A54" s="633" t="s">
        <v>1038</v>
      </c>
      <c r="B54" s="704">
        <v>6</v>
      </c>
      <c r="C54" s="705">
        <v>2.5</v>
      </c>
      <c r="D54" s="705">
        <f>C54/1.77</f>
        <v>1.4124293785310735</v>
      </c>
      <c r="E54" s="651">
        <v>9.9</v>
      </c>
      <c r="F54" s="706">
        <f t="shared" si="2"/>
        <v>-0.49775378866850456</v>
      </c>
      <c r="G54" s="134"/>
      <c r="H54" s="62">
        <v>4</v>
      </c>
      <c r="I54" s="62">
        <v>1.22</v>
      </c>
      <c r="J54" s="117">
        <f>J$57*I54</f>
        <v>0.73199999999999998</v>
      </c>
      <c r="K54" s="2"/>
      <c r="L54" s="124"/>
      <c r="M54" s="62"/>
      <c r="N54" s="62"/>
      <c r="O54" s="62"/>
      <c r="P54" s="62"/>
      <c r="Q54" s="68"/>
      <c r="R54" s="68"/>
      <c r="S54" s="68"/>
      <c r="T54" s="62"/>
      <c r="U54" s="125"/>
    </row>
    <row r="55" spans="1:21" s="61" customFormat="1" ht="13">
      <c r="A55" s="793" t="s">
        <v>736</v>
      </c>
      <c r="B55" s="790">
        <v>7</v>
      </c>
      <c r="C55" s="718">
        <v>3.2</v>
      </c>
      <c r="D55" s="718">
        <v>3.4</v>
      </c>
      <c r="E55" s="789">
        <v>29</v>
      </c>
      <c r="F55" s="788">
        <f t="shared" si="2"/>
        <v>-9.9887240438323577</v>
      </c>
      <c r="G55" s="134"/>
      <c r="H55" s="101">
        <v>5</v>
      </c>
      <c r="I55" s="62">
        <v>1.25</v>
      </c>
      <c r="J55" s="117">
        <f>J$57*I55</f>
        <v>0.75</v>
      </c>
      <c r="K55"/>
      <c r="L55" s="124"/>
      <c r="M55" s="62"/>
      <c r="N55" s="62"/>
      <c r="O55" s="62"/>
      <c r="P55" s="62"/>
      <c r="Q55" s="68"/>
      <c r="R55" s="68"/>
      <c r="S55" s="68"/>
      <c r="T55" s="62"/>
      <c r="U55" s="125"/>
    </row>
    <row r="56" spans="1:21" s="62" customFormat="1" ht="13">
      <c r="A56" s="633" t="s">
        <v>720</v>
      </c>
      <c r="B56" s="704">
        <v>8</v>
      </c>
      <c r="C56" s="705">
        <v>2.5</v>
      </c>
      <c r="D56" s="705">
        <f>C56/1.77</f>
        <v>1.4124293785310735</v>
      </c>
      <c r="E56" s="651">
        <v>10</v>
      </c>
      <c r="F56" s="706">
        <f t="shared" si="2"/>
        <v>-0.50024493651285229</v>
      </c>
      <c r="G56" s="635"/>
      <c r="J56" s="61"/>
      <c r="K56"/>
      <c r="L56" s="124"/>
      <c r="Q56" s="68"/>
      <c r="R56" s="68"/>
      <c r="S56" s="68"/>
      <c r="U56" s="125"/>
    </row>
    <row r="57" spans="1:21" s="62" customFormat="1" ht="13">
      <c r="A57" s="793" t="s">
        <v>445</v>
      </c>
      <c r="B57" s="790">
        <v>9</v>
      </c>
      <c r="C57" s="718">
        <v>1.6</v>
      </c>
      <c r="D57" s="718">
        <f>C57/1.77</f>
        <v>0.903954802259887</v>
      </c>
      <c r="E57" s="789">
        <v>10</v>
      </c>
      <c r="F57" s="788">
        <f t="shared" si="2"/>
        <v>-0.50024493651285229</v>
      </c>
      <c r="G57" s="635"/>
      <c r="J57" s="151">
        <v>0.6</v>
      </c>
      <c r="K57"/>
      <c r="L57" s="124"/>
      <c r="Q57" s="68"/>
      <c r="R57" s="68"/>
      <c r="S57" s="68"/>
      <c r="U57" s="125"/>
    </row>
    <row r="58" spans="1:21" s="62" customFormat="1" ht="13">
      <c r="A58" s="793" t="s">
        <v>596</v>
      </c>
      <c r="B58" s="731">
        <v>10</v>
      </c>
      <c r="C58" s="718">
        <v>2</v>
      </c>
      <c r="D58" s="718">
        <f>C58/1.77</f>
        <v>1.1299435028248588</v>
      </c>
      <c r="E58" s="789">
        <v>10</v>
      </c>
      <c r="F58" s="788">
        <f t="shared" si="2"/>
        <v>-0.50024493651285229</v>
      </c>
      <c r="G58" s="635"/>
      <c r="K58"/>
      <c r="L58" s="124"/>
      <c r="Q58" s="68"/>
      <c r="R58" s="68"/>
      <c r="S58" s="68"/>
      <c r="U58" s="125"/>
    </row>
    <row r="59" spans="1:21" s="62" customFormat="1" ht="13">
      <c r="A59" s="793" t="s">
        <v>270</v>
      </c>
      <c r="B59" s="731">
        <v>11</v>
      </c>
      <c r="C59" s="718">
        <v>8</v>
      </c>
      <c r="D59" s="718">
        <f>C59/1.77</f>
        <v>4.5197740112994351</v>
      </c>
      <c r="E59" s="789">
        <v>5</v>
      </c>
      <c r="F59" s="787">
        <f t="shared" si="2"/>
        <v>-0.3999954917017588</v>
      </c>
      <c r="G59" s="635"/>
      <c r="K59"/>
      <c r="L59" s="124"/>
      <c r="Q59" s="68"/>
      <c r="R59" s="68"/>
      <c r="S59" s="68"/>
      <c r="U59" s="125"/>
    </row>
    <row r="60" spans="1:21" s="62" customFormat="1" ht="13.5" thickBot="1">
      <c r="A60" s="793" t="s">
        <v>447</v>
      </c>
      <c r="B60" s="731">
        <v>12</v>
      </c>
      <c r="C60" s="718">
        <v>4</v>
      </c>
      <c r="D60" s="718">
        <f>C60/1.77</f>
        <v>2.2598870056497176</v>
      </c>
      <c r="E60" s="789">
        <v>10</v>
      </c>
      <c r="F60" s="787">
        <f t="shared" si="2"/>
        <v>-0.50024493651285229</v>
      </c>
      <c r="G60" s="635"/>
      <c r="K60"/>
      <c r="L60" s="213"/>
      <c r="M60" s="597"/>
      <c r="N60" s="597"/>
      <c r="O60" s="597"/>
      <c r="P60" s="597"/>
      <c r="Q60" s="598"/>
      <c r="R60" s="598"/>
      <c r="S60" s="598"/>
      <c r="T60" s="597"/>
      <c r="U60" s="599"/>
    </row>
    <row r="61" spans="1:21" s="62" customFormat="1" ht="13">
      <c r="A61" s="793" t="s">
        <v>448</v>
      </c>
      <c r="B61" s="786">
        <v>13</v>
      </c>
      <c r="C61" s="718">
        <v>5</v>
      </c>
      <c r="D61" s="718">
        <v>10</v>
      </c>
      <c r="E61" s="789">
        <v>10</v>
      </c>
      <c r="F61" s="787">
        <f t="shared" si="2"/>
        <v>-0.50024493651285229</v>
      </c>
      <c r="G61" s="635"/>
      <c r="K61"/>
      <c r="Q61" s="68"/>
      <c r="R61" s="68"/>
      <c r="S61" s="68"/>
    </row>
    <row r="62" spans="1:21" s="62" customFormat="1" ht="13">
      <c r="A62" s="633" t="s">
        <v>960</v>
      </c>
      <c r="B62" s="702">
        <v>14</v>
      </c>
      <c r="C62" s="708">
        <v>7.7</v>
      </c>
      <c r="D62" s="708">
        <f>C62/1.77</f>
        <v>4.3502824858757059</v>
      </c>
      <c r="E62" s="636">
        <v>5.2</v>
      </c>
      <c r="F62" s="707">
        <f t="shared" si="2"/>
        <v>-0.4032371750790813</v>
      </c>
      <c r="G62" s="635"/>
      <c r="K62"/>
      <c r="Q62" s="68"/>
      <c r="R62" s="68"/>
      <c r="S62" s="68"/>
    </row>
    <row r="63" spans="1:21" s="62" customFormat="1" ht="13">
      <c r="A63" s="633" t="s">
        <v>365</v>
      </c>
      <c r="B63" s="702">
        <v>15</v>
      </c>
      <c r="C63" s="636">
        <v>1.5</v>
      </c>
      <c r="D63" s="708">
        <f>C63/1.77</f>
        <v>0.84745762711864403</v>
      </c>
      <c r="E63" s="636">
        <v>12</v>
      </c>
      <c r="F63" s="707">
        <f t="shared" si="2"/>
        <v>-0.555869656232436</v>
      </c>
      <c r="G63" s="635"/>
      <c r="K63"/>
      <c r="Q63" s="68"/>
      <c r="R63" s="68"/>
      <c r="S63" s="68"/>
      <c r="U63" s="2"/>
    </row>
    <row r="64" spans="1:21" s="62" customFormat="1" ht="13">
      <c r="A64" s="633" t="s">
        <v>369</v>
      </c>
      <c r="B64" s="702">
        <v>16</v>
      </c>
      <c r="C64" s="708">
        <v>9</v>
      </c>
      <c r="D64" s="708">
        <f>C64/1.77</f>
        <v>5.0847457627118642</v>
      </c>
      <c r="E64" s="636"/>
      <c r="F64" s="707">
        <f t="shared" si="2"/>
        <v>0.5091</v>
      </c>
      <c r="G64" s="635"/>
      <c r="K64"/>
      <c r="Q64" s="68"/>
      <c r="R64" s="68"/>
      <c r="S64" s="68"/>
      <c r="U64" s="49"/>
    </row>
    <row r="65" spans="1:21" s="62" customFormat="1" ht="13.5" thickBot="1">
      <c r="A65" s="633" t="s">
        <v>348</v>
      </c>
      <c r="B65" s="703">
        <v>17</v>
      </c>
      <c r="C65" s="653">
        <v>5.6</v>
      </c>
      <c r="D65" s="709">
        <v>7.6</v>
      </c>
      <c r="E65" s="653">
        <v>7.6</v>
      </c>
      <c r="F65" s="710">
        <f t="shared" si="2"/>
        <v>-0.44657863341795118</v>
      </c>
      <c r="G65" s="635"/>
      <c r="K65"/>
      <c r="Q65" s="68"/>
      <c r="R65" s="68"/>
      <c r="S65" s="68"/>
      <c r="U65" s="49"/>
    </row>
    <row r="66" spans="1:21" s="62" customFormat="1" ht="13">
      <c r="A66" s="635"/>
      <c r="B66" s="701"/>
      <c r="C66" s="635"/>
      <c r="D66" s="635"/>
      <c r="E66" s="635"/>
      <c r="F66" s="635"/>
      <c r="G66" s="635"/>
      <c r="K66"/>
      <c r="Q66" s="68"/>
      <c r="R66" s="68"/>
      <c r="S66" s="68"/>
      <c r="U66" s="49"/>
    </row>
    <row r="67" spans="1:21" s="62" customFormat="1" ht="13">
      <c r="A67" s="635"/>
      <c r="B67" s="701"/>
      <c r="C67" s="635"/>
      <c r="D67" s="635"/>
      <c r="E67" s="635"/>
      <c r="F67" s="635"/>
      <c r="G67" s="635"/>
      <c r="K67"/>
      <c r="Q67" s="68"/>
      <c r="R67" s="68"/>
      <c r="S67" s="68"/>
      <c r="U67" s="49"/>
    </row>
    <row r="68" spans="1:21" s="62" customFormat="1" ht="13">
      <c r="A68" s="635"/>
      <c r="B68" s="701"/>
      <c r="C68" s="635"/>
      <c r="D68" s="635"/>
      <c r="E68" s="635"/>
      <c r="F68" s="635"/>
      <c r="G68" s="635"/>
      <c r="K68"/>
      <c r="Q68" s="68"/>
      <c r="R68" s="68"/>
      <c r="S68" s="68"/>
      <c r="U68" s="49"/>
    </row>
    <row r="69" spans="1:21" s="62" customFormat="1" ht="13">
      <c r="A69" s="635"/>
      <c r="B69" s="701"/>
      <c r="C69" s="647"/>
      <c r="D69" s="647"/>
      <c r="E69" s="647"/>
      <c r="F69" s="647"/>
      <c r="G69" s="647"/>
      <c r="K69"/>
      <c r="Q69" s="68"/>
      <c r="R69" s="68"/>
      <c r="S69" s="68"/>
      <c r="U69" s="49"/>
    </row>
    <row r="70" spans="1:21" s="62" customFormat="1" ht="13">
      <c r="B70" s="140"/>
      <c r="K70"/>
      <c r="Q70" s="68"/>
      <c r="R70" s="68"/>
      <c r="S70" s="68"/>
      <c r="U70" s="49"/>
    </row>
    <row r="71" spans="1:21" s="62" customFormat="1" ht="13">
      <c r="B71" s="140"/>
      <c r="K71"/>
      <c r="Q71" s="68"/>
      <c r="R71" s="68"/>
      <c r="S71" s="68"/>
      <c r="U71" s="49"/>
    </row>
    <row r="72" spans="1:21" s="62" customFormat="1" ht="13">
      <c r="B72" s="140"/>
      <c r="K72"/>
      <c r="Q72" s="68"/>
      <c r="R72" s="68"/>
      <c r="S72" s="68"/>
      <c r="U72" s="49"/>
    </row>
    <row r="73" spans="1:21" s="2" customFormat="1">
      <c r="A73" s="578"/>
      <c r="B73" s="578"/>
      <c r="C73" s="578"/>
      <c r="D73" s="578"/>
      <c r="E73" s="578"/>
      <c r="F73" s="578"/>
      <c r="G73" s="578"/>
      <c r="H73" s="578"/>
      <c r="I73" s="578"/>
      <c r="J73" s="578"/>
      <c r="K73" s="578"/>
      <c r="L73" s="578"/>
      <c r="M73" s="578"/>
      <c r="N73" s="578"/>
      <c r="O73" s="578"/>
      <c r="P73" s="578"/>
      <c r="Q73" s="578"/>
      <c r="R73" s="578"/>
      <c r="S73" s="578"/>
      <c r="T73" s="578"/>
      <c r="U73" s="49"/>
    </row>
    <row r="74" spans="1:21" s="49" customFormat="1"/>
    <row r="75" spans="1:21" s="49" customFormat="1">
      <c r="A75" s="280" t="s">
        <v>1085</v>
      </c>
      <c r="B75" s="184"/>
      <c r="C75" s="184"/>
      <c r="D75" s="184">
        <v>0</v>
      </c>
      <c r="E75" s="184"/>
      <c r="F75" s="184"/>
      <c r="G75" s="184"/>
      <c r="H75" s="184"/>
    </row>
    <row r="76" spans="1:21" s="49" customFormat="1">
      <c r="A76" s="280"/>
      <c r="B76" s="184"/>
      <c r="C76" s="184"/>
      <c r="D76" s="184"/>
      <c r="E76" s="184"/>
      <c r="F76" s="263" t="s">
        <v>112</v>
      </c>
      <c r="G76" s="184"/>
      <c r="H76" s="184"/>
    </row>
    <row r="77" spans="1:21" s="49" customFormat="1">
      <c r="A77" s="280"/>
      <c r="B77" s="255" t="s">
        <v>851</v>
      </c>
      <c r="C77" s="255"/>
      <c r="D77" s="255"/>
      <c r="E77" s="255"/>
      <c r="F77" s="255"/>
      <c r="G77" s="255"/>
      <c r="H77" s="255"/>
    </row>
    <row r="78" spans="1:21" s="49" customFormat="1">
      <c r="A78" s="299" t="s">
        <v>1005</v>
      </c>
      <c r="B78" s="309" t="s">
        <v>836</v>
      </c>
      <c r="C78" s="309" t="s">
        <v>837</v>
      </c>
      <c r="D78" s="309" t="s">
        <v>838</v>
      </c>
      <c r="E78" s="309" t="s">
        <v>852</v>
      </c>
      <c r="F78" s="309" t="s">
        <v>113</v>
      </c>
      <c r="G78" s="309" t="s">
        <v>115</v>
      </c>
      <c r="H78" s="294" t="s">
        <v>114</v>
      </c>
    </row>
    <row r="79" spans="1:21" s="49" customFormat="1">
      <c r="A79" s="267">
        <v>0.25</v>
      </c>
      <c r="B79" s="195">
        <f t="shared" ref="B79:H92" si="3">IF(AND(B$94=1,$A79&lt;0.3),$E$105*$A79,IF(AND(B$94=1,$A79&gt;B$96),B$98*$A79+(1-B$98*B$96),IF(AND(B$94=2,$A79&lt;0.17),$E$108*$A79,IF(AND(B$94=2,$A79&gt;B$96),B$98*$A79+(1-B$98*B$96),$E$106))))</f>
        <v>0.83250000000000002</v>
      </c>
      <c r="C79" s="195">
        <f t="shared" si="3"/>
        <v>0.83250000000000002</v>
      </c>
      <c r="D79" s="195">
        <f t="shared" si="3"/>
        <v>0.83250000000000002</v>
      </c>
      <c r="E79" s="195">
        <f t="shared" si="3"/>
        <v>1</v>
      </c>
      <c r="F79" s="195">
        <f t="shared" si="3"/>
        <v>1</v>
      </c>
      <c r="G79" s="195">
        <f t="shared" si="3"/>
        <v>1</v>
      </c>
      <c r="H79" s="195">
        <f t="shared" si="3"/>
        <v>1</v>
      </c>
    </row>
    <row r="80" spans="1:21" s="49" customFormat="1">
      <c r="A80" s="267">
        <v>0.5</v>
      </c>
      <c r="B80" s="195">
        <f t="shared" si="3"/>
        <v>1</v>
      </c>
      <c r="C80" s="195">
        <f t="shared" si="3"/>
        <v>1</v>
      </c>
      <c r="D80" s="195">
        <f t="shared" si="3"/>
        <v>1</v>
      </c>
      <c r="E80" s="195">
        <f t="shared" si="3"/>
        <v>1</v>
      </c>
      <c r="F80" s="195">
        <f t="shared" si="3"/>
        <v>1</v>
      </c>
      <c r="G80" s="195">
        <f t="shared" si="3"/>
        <v>1</v>
      </c>
      <c r="H80" s="195">
        <f t="shared" si="3"/>
        <v>1</v>
      </c>
    </row>
    <row r="81" spans="1:21" s="49" customFormat="1">
      <c r="A81" s="267">
        <v>0.75</v>
      </c>
      <c r="B81" s="195">
        <f t="shared" si="3"/>
        <v>1</v>
      </c>
      <c r="C81" s="195">
        <f t="shared" si="3"/>
        <v>1</v>
      </c>
      <c r="D81" s="195">
        <f t="shared" si="3"/>
        <v>1</v>
      </c>
      <c r="E81" s="195">
        <f t="shared" si="3"/>
        <v>1</v>
      </c>
      <c r="F81" s="195">
        <f t="shared" si="3"/>
        <v>1</v>
      </c>
      <c r="G81" s="195">
        <f t="shared" si="3"/>
        <v>1</v>
      </c>
      <c r="H81" s="195">
        <f t="shared" si="3"/>
        <v>1</v>
      </c>
    </row>
    <row r="82" spans="1:21" s="49" customFormat="1">
      <c r="A82" s="267">
        <v>1</v>
      </c>
      <c r="B82" s="195">
        <f t="shared" si="3"/>
        <v>1</v>
      </c>
      <c r="C82" s="195">
        <f t="shared" si="3"/>
        <v>1</v>
      </c>
      <c r="D82" s="195">
        <f t="shared" si="3"/>
        <v>1</v>
      </c>
      <c r="E82" s="195">
        <f t="shared" si="3"/>
        <v>1</v>
      </c>
      <c r="F82" s="195">
        <f t="shared" si="3"/>
        <v>1</v>
      </c>
      <c r="G82" s="195">
        <f t="shared" si="3"/>
        <v>1</v>
      </c>
      <c r="H82" s="195">
        <f t="shared" si="3"/>
        <v>1</v>
      </c>
    </row>
    <row r="83" spans="1:21" s="49" customFormat="1">
      <c r="A83" s="267">
        <v>1.6</v>
      </c>
      <c r="B83" s="195">
        <f t="shared" si="3"/>
        <v>0.45418949932725972</v>
      </c>
      <c r="C83" s="195">
        <f t="shared" si="3"/>
        <v>1</v>
      </c>
      <c r="D83" s="195">
        <f t="shared" si="3"/>
        <v>1</v>
      </c>
      <c r="E83" s="195">
        <f t="shared" si="3"/>
        <v>1</v>
      </c>
      <c r="F83" s="195">
        <f t="shared" si="3"/>
        <v>1</v>
      </c>
      <c r="G83" s="195">
        <f t="shared" si="3"/>
        <v>1</v>
      </c>
      <c r="H83" s="195">
        <f t="shared" si="3"/>
        <v>1</v>
      </c>
    </row>
    <row r="84" spans="1:21" s="49" customFormat="1">
      <c r="A84" s="267">
        <v>2</v>
      </c>
      <c r="B84" s="195">
        <f t="shared" si="3"/>
        <v>9.03158322120996E-2</v>
      </c>
      <c r="C84" s="195">
        <f t="shared" si="3"/>
        <v>1</v>
      </c>
      <c r="D84" s="195">
        <f t="shared" si="3"/>
        <v>1</v>
      </c>
      <c r="E84" s="195">
        <f t="shared" si="3"/>
        <v>1</v>
      </c>
      <c r="F84" s="195">
        <f t="shared" si="3"/>
        <v>1</v>
      </c>
      <c r="G84" s="195">
        <f t="shared" si="3"/>
        <v>1</v>
      </c>
      <c r="H84" s="195">
        <f t="shared" si="3"/>
        <v>1</v>
      </c>
    </row>
    <row r="85" spans="1:21" s="49" customFormat="1">
      <c r="A85" s="267">
        <v>2.5</v>
      </c>
      <c r="B85" s="195">
        <f t="shared" si="3"/>
        <v>-0.3645262516818506</v>
      </c>
      <c r="C85" s="195">
        <f t="shared" si="3"/>
        <v>1</v>
      </c>
      <c r="D85" s="195">
        <f t="shared" si="3"/>
        <v>1</v>
      </c>
      <c r="E85" s="195">
        <f t="shared" si="3"/>
        <v>0.87990929268472495</v>
      </c>
      <c r="F85" s="195">
        <f t="shared" si="3"/>
        <v>1</v>
      </c>
      <c r="G85" s="195">
        <f t="shared" si="3"/>
        <v>1</v>
      </c>
      <c r="H85" s="195">
        <f t="shared" si="3"/>
        <v>1</v>
      </c>
    </row>
    <row r="86" spans="1:21" s="49" customFormat="1">
      <c r="A86" s="267">
        <v>3</v>
      </c>
      <c r="B86" s="195">
        <f t="shared" si="3"/>
        <v>-0.8193683355758008</v>
      </c>
      <c r="C86" s="195">
        <f t="shared" si="3"/>
        <v>1</v>
      </c>
      <c r="D86" s="195">
        <f t="shared" si="3"/>
        <v>1</v>
      </c>
      <c r="E86" s="195">
        <f t="shared" si="3"/>
        <v>0.67747067178183284</v>
      </c>
      <c r="F86" s="195">
        <f t="shared" si="3"/>
        <v>1</v>
      </c>
      <c r="G86" s="195">
        <f t="shared" si="3"/>
        <v>1</v>
      </c>
      <c r="H86" s="195">
        <f t="shared" si="3"/>
        <v>1</v>
      </c>
    </row>
    <row r="87" spans="1:21" s="49" customFormat="1">
      <c r="A87" s="267">
        <v>4</v>
      </c>
      <c r="B87" s="195">
        <f t="shared" si="3"/>
        <v>-1.7290525033637012</v>
      </c>
      <c r="C87" s="195">
        <f t="shared" si="3"/>
        <v>0.95951227581942145</v>
      </c>
      <c r="D87" s="195">
        <f t="shared" si="3"/>
        <v>1</v>
      </c>
      <c r="E87" s="195">
        <f t="shared" si="3"/>
        <v>0.27259342997604885</v>
      </c>
      <c r="F87" s="195">
        <f t="shared" si="3"/>
        <v>0.73791533651536056</v>
      </c>
      <c r="G87" s="195">
        <f t="shared" si="3"/>
        <v>1</v>
      </c>
      <c r="H87" s="195">
        <f t="shared" si="3"/>
        <v>1</v>
      </c>
    </row>
    <row r="88" spans="1:21" s="49" customFormat="1">
      <c r="A88" s="267">
        <v>4.5</v>
      </c>
      <c r="B88" s="195">
        <f t="shared" si="3"/>
        <v>-2.1838945872576518</v>
      </c>
      <c r="C88" s="195">
        <f t="shared" si="3"/>
        <v>0.75707365491652934</v>
      </c>
      <c r="D88" s="195">
        <f t="shared" si="3"/>
        <v>1</v>
      </c>
      <c r="E88" s="195">
        <f t="shared" si="3"/>
        <v>7.0154809073156743E-2</v>
      </c>
      <c r="F88" s="195">
        <f t="shared" si="3"/>
        <v>0.51951145027816104</v>
      </c>
      <c r="G88" s="195">
        <f t="shared" si="3"/>
        <v>0.78683780703249306</v>
      </c>
      <c r="H88" s="195">
        <f t="shared" si="3"/>
        <v>0.89079805688140024</v>
      </c>
    </row>
    <row r="89" spans="1:21" s="49" customFormat="1">
      <c r="A89" s="267">
        <v>6.1</v>
      </c>
      <c r="B89" s="195">
        <f t="shared" si="3"/>
        <v>-3.6393892557182914</v>
      </c>
      <c r="C89" s="195">
        <f t="shared" si="3"/>
        <v>0.1092700680272749</v>
      </c>
      <c r="D89" s="195">
        <f t="shared" si="3"/>
        <v>0.95631922275256009</v>
      </c>
      <c r="E89" s="195">
        <f t="shared" si="3"/>
        <v>-0.57764877781609769</v>
      </c>
      <c r="F89" s="195">
        <f t="shared" si="3"/>
        <v>-0.17938098568087701</v>
      </c>
      <c r="G89" s="195">
        <f t="shared" si="3"/>
        <v>8.7945371073455014E-2</v>
      </c>
      <c r="H89" s="195">
        <f t="shared" si="3"/>
        <v>0.19190562092236219</v>
      </c>
      <c r="U89" s="246"/>
    </row>
    <row r="90" spans="1:21" s="49" customFormat="1">
      <c r="A90" s="267">
        <v>7</v>
      </c>
      <c r="B90" s="195">
        <f t="shared" si="3"/>
        <v>-4.4581050067274024</v>
      </c>
      <c r="C90" s="195">
        <f t="shared" si="3"/>
        <v>-0.25511944959793054</v>
      </c>
      <c r="D90" s="195">
        <f t="shared" si="3"/>
        <v>0.56319222752560139</v>
      </c>
      <c r="E90" s="195">
        <f t="shared" si="3"/>
        <v>-0.94203829544130313</v>
      </c>
      <c r="F90" s="195">
        <f t="shared" si="3"/>
        <v>-0.57250798090783572</v>
      </c>
      <c r="G90" s="195">
        <f t="shared" si="3"/>
        <v>-0.30518162415350369</v>
      </c>
      <c r="H90" s="195">
        <f t="shared" si="3"/>
        <v>-0.20122137430459652</v>
      </c>
      <c r="U90" s="246"/>
    </row>
    <row r="91" spans="1:21" s="49" customFormat="1">
      <c r="A91" s="267">
        <v>8</v>
      </c>
      <c r="B91" s="195">
        <f t="shared" si="3"/>
        <v>-5.3677891745153028</v>
      </c>
      <c r="C91" s="195">
        <f t="shared" si="3"/>
        <v>-0.65999669140371475</v>
      </c>
      <c r="D91" s="195">
        <f t="shared" si="3"/>
        <v>0.12638445505120233</v>
      </c>
      <c r="E91" s="195">
        <f t="shared" si="3"/>
        <v>-1.3469155372470873</v>
      </c>
      <c r="F91" s="195">
        <f t="shared" si="3"/>
        <v>-1.0093157533822348</v>
      </c>
      <c r="G91" s="195">
        <f t="shared" si="3"/>
        <v>-0.74198939662790275</v>
      </c>
      <c r="H91" s="195">
        <f t="shared" si="3"/>
        <v>-0.63802914677899558</v>
      </c>
      <c r="U91" s="246"/>
    </row>
    <row r="92" spans="1:21" s="49" customFormat="1">
      <c r="A92" s="310">
        <v>9</v>
      </c>
      <c r="B92" s="254">
        <f t="shared" si="3"/>
        <v>-6.2774733423032041</v>
      </c>
      <c r="C92" s="254">
        <f t="shared" si="3"/>
        <v>-1.064873933209499</v>
      </c>
      <c r="D92" s="254">
        <f t="shared" si="3"/>
        <v>-0.31042331742319673</v>
      </c>
      <c r="E92" s="254">
        <f t="shared" si="3"/>
        <v>-1.7517927790528716</v>
      </c>
      <c r="F92" s="254">
        <f t="shared" si="3"/>
        <v>-1.4461235258566338</v>
      </c>
      <c r="G92" s="254">
        <f t="shared" si="3"/>
        <v>-1.1787971691023018</v>
      </c>
      <c r="H92" s="254">
        <f t="shared" si="3"/>
        <v>-1.0748369192533946</v>
      </c>
      <c r="U92" s="184"/>
    </row>
    <row r="93" spans="1:21" s="246" customFormat="1">
      <c r="A93" s="244" t="s">
        <v>59</v>
      </c>
      <c r="B93" s="245">
        <v>1</v>
      </c>
      <c r="C93" s="245">
        <v>3</v>
      </c>
      <c r="D93" s="245">
        <v>7</v>
      </c>
      <c r="E93" s="245">
        <v>3</v>
      </c>
      <c r="F93" s="245">
        <v>7</v>
      </c>
      <c r="G93" s="245">
        <v>7</v>
      </c>
      <c r="H93" s="245">
        <v>7</v>
      </c>
      <c r="U93" s="184"/>
    </row>
    <row r="94" spans="1:21" s="246" customFormat="1">
      <c r="A94" s="288" t="s">
        <v>835</v>
      </c>
      <c r="B94" s="246">
        <v>1</v>
      </c>
      <c r="C94" s="246">
        <v>1</v>
      </c>
      <c r="D94" s="246">
        <v>1</v>
      </c>
      <c r="E94" s="246">
        <v>2</v>
      </c>
      <c r="F94" s="246">
        <v>2</v>
      </c>
      <c r="G94" s="246">
        <v>2</v>
      </c>
      <c r="H94" s="246">
        <v>2</v>
      </c>
      <c r="U94" s="195"/>
    </row>
    <row r="95" spans="1:21" s="246" customFormat="1">
      <c r="A95" s="288" t="s">
        <v>850</v>
      </c>
      <c r="B95" s="246">
        <v>1</v>
      </c>
      <c r="C95" s="246">
        <v>1</v>
      </c>
      <c r="D95" s="246">
        <v>1</v>
      </c>
      <c r="E95" s="246">
        <v>1</v>
      </c>
      <c r="F95" s="246">
        <v>1</v>
      </c>
      <c r="G95" s="246">
        <v>3</v>
      </c>
      <c r="H95" s="246">
        <v>5</v>
      </c>
      <c r="U95" s="184"/>
    </row>
    <row r="96" spans="1:21" s="184" customFormat="1">
      <c r="A96" s="252" t="s">
        <v>847</v>
      </c>
      <c r="B96" s="184">
        <f t="shared" ref="B96:H96" si="4">IF(B94=1,LOOKUP(B$93,$B$29:$B$37,$C$29:$C$37),LOOKUP(B$93,$B$49:$B$58,$D$49:$D$58)*LOOKUP(B$95,$H$51:$H$55,$I$51:$I$55))</f>
        <v>1</v>
      </c>
      <c r="C96" s="184">
        <f t="shared" si="4"/>
        <v>3.9</v>
      </c>
      <c r="D96" s="184">
        <f t="shared" si="4"/>
        <v>6</v>
      </c>
      <c r="E96" s="184">
        <f t="shared" si="4"/>
        <v>2.2033898305084745</v>
      </c>
      <c r="F96" s="184">
        <f t="shared" si="4"/>
        <v>3.4</v>
      </c>
      <c r="G96" s="184">
        <f t="shared" si="4"/>
        <v>4.0119999999999996</v>
      </c>
      <c r="H96" s="184">
        <f t="shared" si="4"/>
        <v>4.25</v>
      </c>
      <c r="U96" s="50"/>
    </row>
    <row r="97" spans="1:22" s="184" customFormat="1">
      <c r="A97" s="252" t="s">
        <v>848</v>
      </c>
      <c r="B97" s="184">
        <f t="shared" ref="B97:H97" si="5">LOOKUP(B$93,$B$29:$B$37,$D$29:$D$37)</f>
        <v>19</v>
      </c>
      <c r="C97" s="184">
        <f t="shared" si="5"/>
        <v>5.3</v>
      </c>
      <c r="D97" s="184">
        <f t="shared" si="5"/>
        <v>7.1</v>
      </c>
      <c r="E97" s="184">
        <f t="shared" si="5"/>
        <v>5.3</v>
      </c>
      <c r="F97" s="184">
        <f t="shared" si="5"/>
        <v>7.1</v>
      </c>
      <c r="G97" s="184">
        <f t="shared" si="5"/>
        <v>7.1</v>
      </c>
      <c r="H97" s="184">
        <f t="shared" si="5"/>
        <v>7.1</v>
      </c>
      <c r="U97" s="50"/>
    </row>
    <row r="98" spans="1:22" s="195" customFormat="1">
      <c r="A98" s="284" t="s">
        <v>849</v>
      </c>
      <c r="B98" s="195">
        <f>($E$107-$F$107*B97)/($G$107+$H$107*B97-$I$107*POWER(B97,2))</f>
        <v>-0.9096841677879004</v>
      </c>
      <c r="C98" s="195">
        <f>($E$107-$F$107*C97)/($G$107+$H$107*C97-$I$107*POWER(C97,2))</f>
        <v>-0.40487724180578405</v>
      </c>
      <c r="D98" s="195">
        <f>($E$107-$F$107*D97)/($G$107+$H$107*D97-$I$107*POWER(D97,2))</f>
        <v>-0.43680777247439884</v>
      </c>
      <c r="E98" s="195">
        <f>($E$114-$F$114*E97)/($G$114+$H$114*E97-$I114*POWER(E97,2))</f>
        <v>-0.40487724180578405</v>
      </c>
      <c r="F98" s="195">
        <f>($E$114-$F$114*F97)/($G$114+$H$114*F97-$I114*POWER(F97,2))</f>
        <v>-0.43680777247439884</v>
      </c>
      <c r="G98" s="195">
        <f>($E$114-$F$114*G97)/($G$114+$H$114*G97-$I114*POWER(G97,2))</f>
        <v>-0.43680777247439884</v>
      </c>
      <c r="H98" s="195">
        <f>($E$114-$F$114*H97)/($G$114+$H$114*H97-$I114*POWER(H97,2))</f>
        <v>-0.43680777247439884</v>
      </c>
      <c r="U98" s="49"/>
    </row>
    <row r="99" spans="1:22" s="184" customFormat="1">
      <c r="A99" s="184" t="s">
        <v>1154</v>
      </c>
      <c r="U99" s="49"/>
    </row>
    <row r="100" spans="1:22" s="50" customFormat="1">
      <c r="A100" s="94"/>
      <c r="U100" s="49"/>
    </row>
    <row r="101" spans="1:22" s="50" customFormat="1">
      <c r="A101" s="579"/>
      <c r="B101" s="580"/>
      <c r="C101" s="580"/>
      <c r="D101" s="580"/>
      <c r="E101" s="580"/>
      <c r="F101" s="580"/>
      <c r="G101" s="580"/>
      <c r="H101" s="580"/>
      <c r="I101" s="580"/>
      <c r="J101" s="580"/>
      <c r="K101" s="580"/>
      <c r="L101" s="580"/>
      <c r="M101" s="580"/>
      <c r="N101" s="580"/>
      <c r="O101" s="580"/>
      <c r="P101" s="580"/>
      <c r="Q101" s="580"/>
      <c r="R101" s="580"/>
      <c r="S101" s="580"/>
      <c r="T101" s="580"/>
      <c r="U101" s="49"/>
    </row>
    <row r="102" spans="1:22" s="49" customFormat="1">
      <c r="A102" s="56"/>
      <c r="B102" s="56"/>
      <c r="C102" s="56"/>
      <c r="D102" s="56"/>
      <c r="E102" s="56"/>
      <c r="F102" s="184"/>
      <c r="G102" s="56"/>
      <c r="H102" s="274" t="s">
        <v>1188</v>
      </c>
      <c r="I102" s="274"/>
      <c r="J102" s="154"/>
      <c r="K102" s="154"/>
      <c r="L102" s="154"/>
      <c r="M102" s="154"/>
      <c r="N102" s="154"/>
      <c r="O102" s="154"/>
    </row>
    <row r="103" spans="1:22" s="49" customFormat="1" ht="13.5" thickBot="1">
      <c r="A103" s="303" t="s">
        <v>902</v>
      </c>
      <c r="B103" s="184"/>
      <c r="C103" s="184"/>
      <c r="D103" s="184"/>
      <c r="E103" s="184"/>
      <c r="F103" s="184"/>
      <c r="G103" s="184"/>
      <c r="H103" s="184"/>
      <c r="I103" s="184"/>
      <c r="K103" s="155" t="s">
        <v>901</v>
      </c>
      <c r="L103" s="154"/>
      <c r="M103" s="154"/>
      <c r="N103" s="154"/>
      <c r="O103" s="73" t="s">
        <v>1026</v>
      </c>
      <c r="P103" s="49" t="s">
        <v>1026</v>
      </c>
    </row>
    <row r="104" spans="1:22" s="49" customFormat="1" ht="13">
      <c r="A104" s="316" t="s">
        <v>1046</v>
      </c>
      <c r="B104" s="258" t="s">
        <v>1160</v>
      </c>
      <c r="C104" s="258" t="s">
        <v>866</v>
      </c>
      <c r="D104" s="253" t="s">
        <v>1134</v>
      </c>
      <c r="E104" s="587" t="s">
        <v>890</v>
      </c>
      <c r="F104" s="587" t="s">
        <v>891</v>
      </c>
      <c r="G104" s="587" t="s">
        <v>892</v>
      </c>
      <c r="H104" s="587" t="s">
        <v>865</v>
      </c>
      <c r="I104" s="587" t="s">
        <v>1093</v>
      </c>
      <c r="J104" s="89"/>
      <c r="K104" s="311" t="s">
        <v>870</v>
      </c>
      <c r="L104" s="312" t="s">
        <v>857</v>
      </c>
      <c r="M104" s="313" t="s">
        <v>900</v>
      </c>
      <c r="N104" s="163" t="s">
        <v>1163</v>
      </c>
      <c r="O104" s="164" t="s">
        <v>1037</v>
      </c>
      <c r="U104" s="75"/>
    </row>
    <row r="105" spans="1:22" s="49" customFormat="1" ht="13.5">
      <c r="A105" s="317">
        <v>1</v>
      </c>
      <c r="B105" s="582" t="s">
        <v>1105</v>
      </c>
      <c r="C105" s="583" t="s">
        <v>895</v>
      </c>
      <c r="D105" s="195">
        <v>1</v>
      </c>
      <c r="E105" s="588">
        <v>3.33</v>
      </c>
      <c r="F105" s="588">
        <v>0</v>
      </c>
      <c r="G105" s="588">
        <v>0</v>
      </c>
      <c r="H105" s="588">
        <v>0</v>
      </c>
      <c r="I105" s="588">
        <v>0</v>
      </c>
      <c r="J105" s="75"/>
      <c r="K105" s="308">
        <v>0.1</v>
      </c>
      <c r="L105" s="314">
        <f t="shared" ref="L105:L118" si="6">IF(AND(A105=1,K105&lt;0.3),$E$105*K105,IF(AND(A105=1,K105&gt;$O$105),$O$107*K105+(1-$O$107*$O$105),IF(AND(A105=2,K105&lt;0.17),$E$108*K105,IF(AND(A105=2,K105&gt;(($O$105/1.77)*D105)),$O$107*K105+(1-$O$107*(($O$105/1.77)*D105)),$E$106))))</f>
        <v>0.33300000000000002</v>
      </c>
      <c r="M105" s="315">
        <f>IF(L105&lt;0,0,L105)</f>
        <v>0.33300000000000002</v>
      </c>
      <c r="N105" s="165" t="s">
        <v>854</v>
      </c>
      <c r="O105" s="166">
        <f>C53</f>
        <v>5</v>
      </c>
    </row>
    <row r="106" spans="1:22" s="49" customFormat="1" ht="13">
      <c r="A106" s="317">
        <v>1</v>
      </c>
      <c r="B106" s="582" t="s">
        <v>1106</v>
      </c>
      <c r="C106" s="583" t="s">
        <v>895</v>
      </c>
      <c r="D106" s="195">
        <v>1</v>
      </c>
      <c r="E106" s="588">
        <v>1</v>
      </c>
      <c r="F106" s="588">
        <v>0</v>
      </c>
      <c r="G106" s="588">
        <v>0</v>
      </c>
      <c r="H106" s="588">
        <v>0</v>
      </c>
      <c r="I106" s="588">
        <v>0</v>
      </c>
      <c r="J106" s="75"/>
      <c r="K106" s="308">
        <v>0.31</v>
      </c>
      <c r="L106" s="314">
        <f t="shared" si="6"/>
        <v>1</v>
      </c>
      <c r="M106" s="315">
        <f t="shared" ref="M106:M118" si="7">IF(L106&lt;0,0,L106)</f>
        <v>1</v>
      </c>
      <c r="N106" s="165" t="s">
        <v>853</v>
      </c>
      <c r="O106" s="166">
        <v>20</v>
      </c>
    </row>
    <row r="107" spans="1:22" s="49" customFormat="1" ht="13.5" thickBot="1">
      <c r="A107" s="317">
        <v>1</v>
      </c>
      <c r="B107" s="582" t="s">
        <v>1107</v>
      </c>
      <c r="C107" s="583" t="s">
        <v>895</v>
      </c>
      <c r="D107" s="195">
        <v>1</v>
      </c>
      <c r="E107" s="588">
        <v>0.5091</v>
      </c>
      <c r="F107" s="588">
        <v>161.58000000000001</v>
      </c>
      <c r="G107" s="588">
        <v>1</v>
      </c>
      <c r="H107" s="588">
        <v>484.2</v>
      </c>
      <c r="I107" s="588">
        <v>16.14</v>
      </c>
      <c r="J107" s="75"/>
      <c r="K107" s="308">
        <v>5.5</v>
      </c>
      <c r="L107" s="314">
        <f t="shared" si="6"/>
        <v>0.49967623103127945</v>
      </c>
      <c r="M107" s="315">
        <f t="shared" si="7"/>
        <v>0.49967623103127945</v>
      </c>
      <c r="N107" s="167" t="s">
        <v>849</v>
      </c>
      <c r="O107" s="168">
        <f>($E$107-$F$107*O106)/($G$107+$H$107*O106-$I$107*POWER(O106,2))</f>
        <v>-1.000647537937442</v>
      </c>
    </row>
    <row r="108" spans="1:22" s="49" customFormat="1" ht="13">
      <c r="A108" s="317">
        <v>2</v>
      </c>
      <c r="B108" s="582" t="s">
        <v>1108</v>
      </c>
      <c r="C108" s="583" t="s">
        <v>895</v>
      </c>
      <c r="D108" s="195">
        <v>1</v>
      </c>
      <c r="E108" s="252">
        <v>5.88</v>
      </c>
      <c r="F108" s="588">
        <v>0</v>
      </c>
      <c r="G108" s="588">
        <v>0</v>
      </c>
      <c r="H108" s="588">
        <v>0</v>
      </c>
      <c r="I108" s="588">
        <v>0</v>
      </c>
      <c r="J108" s="75"/>
      <c r="K108" s="308">
        <v>0.1</v>
      </c>
      <c r="L108" s="314">
        <f t="shared" si="6"/>
        <v>0.58799999999999997</v>
      </c>
      <c r="M108" s="315">
        <f t="shared" si="7"/>
        <v>0.58799999999999997</v>
      </c>
      <c r="T108" s="75"/>
      <c r="V108" s="75"/>
    </row>
    <row r="109" spans="1:22" s="49" customFormat="1" ht="13.5">
      <c r="A109" s="317">
        <v>2</v>
      </c>
      <c r="B109" s="581" t="s">
        <v>855</v>
      </c>
      <c r="C109" s="586">
        <v>1</v>
      </c>
      <c r="D109" s="195">
        <v>1</v>
      </c>
      <c r="E109" s="252">
        <v>1</v>
      </c>
      <c r="F109" s="588">
        <v>0</v>
      </c>
      <c r="G109" s="588">
        <v>0</v>
      </c>
      <c r="H109" s="588">
        <v>0</v>
      </c>
      <c r="I109" s="588">
        <v>0</v>
      </c>
      <c r="J109" s="75"/>
      <c r="K109" s="308">
        <v>0.18</v>
      </c>
      <c r="L109" s="314">
        <f t="shared" si="6"/>
        <v>1</v>
      </c>
      <c r="M109" s="315">
        <f t="shared" si="7"/>
        <v>1</v>
      </c>
    </row>
    <row r="110" spans="1:22" s="49" customFormat="1" ht="13.5">
      <c r="A110" s="317">
        <v>2</v>
      </c>
      <c r="B110" s="581" t="s">
        <v>855</v>
      </c>
      <c r="C110" s="586">
        <v>2</v>
      </c>
      <c r="D110" s="195">
        <v>1.07</v>
      </c>
      <c r="E110" s="252">
        <v>1</v>
      </c>
      <c r="F110" s="588">
        <v>0</v>
      </c>
      <c r="G110" s="588">
        <v>0</v>
      </c>
      <c r="H110" s="588">
        <v>0</v>
      </c>
      <c r="I110" s="588">
        <v>0</v>
      </c>
      <c r="J110" s="75"/>
      <c r="K110" s="308">
        <v>0.18</v>
      </c>
      <c r="L110" s="314">
        <f t="shared" si="6"/>
        <v>1</v>
      </c>
      <c r="M110" s="315">
        <f t="shared" si="7"/>
        <v>1</v>
      </c>
    </row>
    <row r="111" spans="1:22" s="49" customFormat="1" ht="13.5">
      <c r="A111" s="317">
        <v>2</v>
      </c>
      <c r="B111" s="581" t="s">
        <v>855</v>
      </c>
      <c r="C111" s="586">
        <v>3</v>
      </c>
      <c r="D111" s="195">
        <v>1.18</v>
      </c>
      <c r="E111" s="252">
        <v>1</v>
      </c>
      <c r="F111" s="588">
        <v>0</v>
      </c>
      <c r="G111" s="588">
        <v>0</v>
      </c>
      <c r="H111" s="588">
        <v>0</v>
      </c>
      <c r="I111" s="588">
        <v>0</v>
      </c>
      <c r="J111" s="75"/>
      <c r="K111" s="308">
        <v>0.18</v>
      </c>
      <c r="L111" s="314">
        <f t="shared" si="6"/>
        <v>1</v>
      </c>
      <c r="M111" s="315">
        <f t="shared" si="7"/>
        <v>1</v>
      </c>
    </row>
    <row r="112" spans="1:22" s="49" customFormat="1" ht="13.5">
      <c r="A112" s="317">
        <v>2</v>
      </c>
      <c r="B112" s="581" t="s">
        <v>855</v>
      </c>
      <c r="C112" s="586">
        <v>4</v>
      </c>
      <c r="D112" s="195">
        <v>1.22</v>
      </c>
      <c r="E112" s="252">
        <v>1</v>
      </c>
      <c r="F112" s="588">
        <v>0</v>
      </c>
      <c r="G112" s="588">
        <v>0</v>
      </c>
      <c r="H112" s="588">
        <v>0</v>
      </c>
      <c r="I112" s="588">
        <v>0</v>
      </c>
      <c r="J112" s="75"/>
      <c r="K112" s="308">
        <v>0.18</v>
      </c>
      <c r="L112" s="314">
        <f t="shared" si="6"/>
        <v>1</v>
      </c>
      <c r="M112" s="315">
        <f t="shared" si="7"/>
        <v>1</v>
      </c>
    </row>
    <row r="113" spans="1:24" s="49" customFormat="1" ht="13.5">
      <c r="A113" s="317">
        <v>2</v>
      </c>
      <c r="B113" s="581" t="s">
        <v>855</v>
      </c>
      <c r="C113" s="586">
        <v>5</v>
      </c>
      <c r="D113" s="195">
        <v>1.25</v>
      </c>
      <c r="E113" s="252">
        <v>1</v>
      </c>
      <c r="F113" s="588">
        <v>0</v>
      </c>
      <c r="G113" s="588">
        <v>0</v>
      </c>
      <c r="H113" s="588">
        <v>0</v>
      </c>
      <c r="I113" s="588">
        <v>0</v>
      </c>
      <c r="J113" s="75"/>
      <c r="K113" s="308">
        <v>0.18</v>
      </c>
      <c r="L113" s="314">
        <f t="shared" si="6"/>
        <v>1</v>
      </c>
      <c r="M113" s="315">
        <f t="shared" si="7"/>
        <v>1</v>
      </c>
    </row>
    <row r="114" spans="1:24" s="49" customFormat="1" ht="13.5">
      <c r="A114" s="317">
        <v>2</v>
      </c>
      <c r="B114" s="584" t="s">
        <v>856</v>
      </c>
      <c r="C114" s="585">
        <v>1</v>
      </c>
      <c r="D114" s="195">
        <v>1</v>
      </c>
      <c r="E114" s="588">
        <v>0.5091</v>
      </c>
      <c r="F114" s="588">
        <v>161.58000000000001</v>
      </c>
      <c r="G114" s="588">
        <v>1</v>
      </c>
      <c r="H114" s="588">
        <v>484.2</v>
      </c>
      <c r="I114" s="588">
        <v>16.14</v>
      </c>
      <c r="J114" s="75"/>
      <c r="K114" s="308">
        <v>9</v>
      </c>
      <c r="L114" s="314">
        <f t="shared" si="6"/>
        <v>-5.1791398811617189</v>
      </c>
      <c r="M114" s="315">
        <f t="shared" si="7"/>
        <v>0</v>
      </c>
    </row>
    <row r="115" spans="1:24" s="49" customFormat="1" ht="13.5">
      <c r="A115" s="317">
        <v>2</v>
      </c>
      <c r="B115" s="584" t="s">
        <v>856</v>
      </c>
      <c r="C115" s="585">
        <v>2</v>
      </c>
      <c r="D115" s="195">
        <v>1.07</v>
      </c>
      <c r="E115" s="588">
        <v>0.5091</v>
      </c>
      <c r="F115" s="588">
        <v>161.58000000000001</v>
      </c>
      <c r="G115" s="588">
        <v>1</v>
      </c>
      <c r="H115" s="588">
        <v>484.2</v>
      </c>
      <c r="I115" s="588">
        <v>16.14</v>
      </c>
      <c r="J115" s="75"/>
      <c r="K115" s="308">
        <v>9</v>
      </c>
      <c r="L115" s="314">
        <f t="shared" si="6"/>
        <v>-4.9812717239424504</v>
      </c>
      <c r="M115" s="315">
        <f t="shared" si="7"/>
        <v>0</v>
      </c>
    </row>
    <row r="116" spans="1:24" s="49" customFormat="1" ht="13.5">
      <c r="A116" s="317">
        <v>2</v>
      </c>
      <c r="B116" s="584" t="s">
        <v>856</v>
      </c>
      <c r="C116" s="585">
        <v>3</v>
      </c>
      <c r="D116" s="195">
        <v>1.18</v>
      </c>
      <c r="E116" s="588">
        <v>0.5091</v>
      </c>
      <c r="F116" s="588">
        <v>161.58000000000001</v>
      </c>
      <c r="G116" s="589">
        <v>1</v>
      </c>
      <c r="H116" s="588">
        <v>484.2</v>
      </c>
      <c r="I116" s="588">
        <v>16.14</v>
      </c>
      <c r="J116" s="75"/>
      <c r="K116" s="308">
        <v>9</v>
      </c>
      <c r="L116" s="314">
        <f t="shared" si="6"/>
        <v>-4.6703360483121719</v>
      </c>
      <c r="M116" s="315">
        <f t="shared" si="7"/>
        <v>0</v>
      </c>
      <c r="U116" s="51"/>
    </row>
    <row r="117" spans="1:24" s="49" customFormat="1" ht="13.5">
      <c r="A117" s="317">
        <v>2</v>
      </c>
      <c r="B117" s="584" t="s">
        <v>856</v>
      </c>
      <c r="C117" s="585">
        <v>4</v>
      </c>
      <c r="D117" s="195">
        <v>1.22</v>
      </c>
      <c r="E117" s="588">
        <v>0.5091</v>
      </c>
      <c r="F117" s="588">
        <v>161.58000000000001</v>
      </c>
      <c r="G117" s="588">
        <v>1</v>
      </c>
      <c r="H117" s="588">
        <v>484.2</v>
      </c>
      <c r="I117" s="588">
        <v>16.14</v>
      </c>
      <c r="J117" s="75"/>
      <c r="K117" s="308">
        <v>9</v>
      </c>
      <c r="L117" s="314">
        <f t="shared" si="6"/>
        <v>-4.5572685299011617</v>
      </c>
      <c r="M117" s="315">
        <f t="shared" si="7"/>
        <v>0</v>
      </c>
    </row>
    <row r="118" spans="1:24" s="49" customFormat="1" ht="13.5">
      <c r="A118" s="317">
        <v>2</v>
      </c>
      <c r="B118" s="584" t="s">
        <v>856</v>
      </c>
      <c r="C118" s="585">
        <v>5</v>
      </c>
      <c r="D118" s="195">
        <v>1.25</v>
      </c>
      <c r="E118" s="588">
        <v>0.5091</v>
      </c>
      <c r="F118" s="588">
        <v>161.58000000000001</v>
      </c>
      <c r="G118" s="588">
        <v>1</v>
      </c>
      <c r="H118" s="588">
        <v>484.2</v>
      </c>
      <c r="I118" s="588">
        <v>16.14</v>
      </c>
      <c r="J118" s="75"/>
      <c r="K118" s="308">
        <v>9</v>
      </c>
      <c r="L118" s="314">
        <f t="shared" si="6"/>
        <v>-4.4724678910929043</v>
      </c>
      <c r="M118" s="315">
        <f t="shared" si="7"/>
        <v>0</v>
      </c>
    </row>
    <row r="119" spans="1:24" s="52" customFormat="1" ht="13">
      <c r="A119" s="727"/>
      <c r="B119" s="327"/>
      <c r="C119" s="727"/>
      <c r="D119" s="194"/>
      <c r="E119" s="512"/>
      <c r="F119" s="512"/>
      <c r="G119" s="512"/>
      <c r="H119" s="512"/>
      <c r="I119" s="512"/>
      <c r="J119" s="170"/>
      <c r="K119" s="732"/>
      <c r="L119" s="314"/>
      <c r="M119" s="778"/>
    </row>
    <row r="120" spans="1:24" s="52" customFormat="1" ht="13">
      <c r="A120" s="727"/>
      <c r="B120" s="327"/>
      <c r="C120" s="727"/>
      <c r="D120" s="194"/>
      <c r="E120" s="512"/>
      <c r="F120" s="512"/>
      <c r="G120" s="512"/>
      <c r="H120" s="512"/>
      <c r="I120" s="512"/>
      <c r="J120" s="170"/>
      <c r="K120" s="732"/>
      <c r="L120" s="314"/>
      <c r="M120" s="778"/>
    </row>
    <row r="121" spans="1:24" s="52" customFormat="1" ht="13">
      <c r="A121" s="727"/>
      <c r="B121" s="327"/>
      <c r="C121" s="727"/>
      <c r="D121" s="194"/>
      <c r="E121" s="512"/>
      <c r="F121" s="512"/>
      <c r="G121" s="512"/>
      <c r="H121" s="512"/>
      <c r="I121" s="512"/>
      <c r="J121" s="170"/>
      <c r="K121" s="732"/>
      <c r="L121" s="314"/>
      <c r="M121" s="778"/>
    </row>
    <row r="122" spans="1:24" s="52" customFormat="1" ht="13">
      <c r="A122" s="727"/>
      <c r="B122" s="327"/>
      <c r="C122" s="727"/>
      <c r="D122" s="194"/>
      <c r="E122" s="512"/>
      <c r="F122" s="512"/>
      <c r="G122" s="512"/>
      <c r="H122" s="512"/>
      <c r="I122" s="512"/>
      <c r="J122" s="170"/>
      <c r="K122" s="732"/>
      <c r="L122" s="314"/>
      <c r="M122" s="778"/>
    </row>
    <row r="123" spans="1:24" s="52" customFormat="1" ht="13">
      <c r="A123" s="727"/>
      <c r="B123" s="327"/>
      <c r="C123" s="727"/>
      <c r="D123" s="194"/>
      <c r="E123" s="512"/>
      <c r="F123" s="512"/>
      <c r="G123" s="512"/>
      <c r="H123" s="512"/>
      <c r="I123" s="512"/>
      <c r="J123" s="170"/>
      <c r="K123" s="732"/>
      <c r="L123" s="314"/>
      <c r="M123" s="778"/>
    </row>
    <row r="124" spans="1:24" s="52" customFormat="1" ht="13">
      <c r="A124" s="727"/>
      <c r="B124" s="327"/>
      <c r="C124" s="727"/>
      <c r="D124" s="194"/>
      <c r="E124" s="512"/>
      <c r="F124" s="512"/>
      <c r="G124" s="512"/>
      <c r="H124" s="512"/>
      <c r="I124" s="512"/>
      <c r="J124" s="170"/>
      <c r="K124" s="732"/>
      <c r="L124" s="314"/>
      <c r="M124" s="778"/>
    </row>
    <row r="125" spans="1:24" s="49" customFormat="1" ht="12" thickBot="1">
      <c r="A125" s="62"/>
      <c r="N125"/>
      <c r="O125"/>
      <c r="P125"/>
      <c r="Q125"/>
      <c r="R125"/>
      <c r="S125"/>
      <c r="T125"/>
      <c r="U125"/>
    </row>
    <row r="126" spans="1:24" s="51" customFormat="1">
      <c r="A126" s="763" t="s">
        <v>450</v>
      </c>
      <c r="B126" s="735" t="s">
        <v>926</v>
      </c>
      <c r="C126" s="735"/>
      <c r="D126" s="735" t="s">
        <v>637</v>
      </c>
      <c r="E126" s="760"/>
      <c r="F126" s="760"/>
      <c r="G126" s="760"/>
      <c r="H126" s="751" t="s">
        <v>25</v>
      </c>
      <c r="I126" s="751" t="s">
        <v>1159</v>
      </c>
      <c r="J126" s="728" t="s">
        <v>1059</v>
      </c>
      <c r="K126" s="204" t="s">
        <v>26</v>
      </c>
      <c r="L126" s="161"/>
      <c r="Q126"/>
      <c r="R126"/>
      <c r="S126"/>
      <c r="T126"/>
      <c r="U126"/>
      <c r="V126"/>
      <c r="W126"/>
      <c r="X126"/>
    </row>
    <row r="127" spans="1:24" s="49" customFormat="1">
      <c r="A127" s="781">
        <v>1</v>
      </c>
      <c r="B127" s="723" t="s">
        <v>638</v>
      </c>
      <c r="C127" s="723"/>
      <c r="D127" s="723" t="s">
        <v>639</v>
      </c>
      <c r="E127" s="494"/>
      <c r="F127" s="494"/>
      <c r="G127" s="494"/>
      <c r="H127" s="779">
        <v>2</v>
      </c>
      <c r="I127" s="779">
        <v>7.3</v>
      </c>
      <c r="J127" s="748">
        <f>(0.5091-161.58*I127)/(1+484.2*I127-16.14*POWER(I127,2))</f>
        <v>-0.44066481947662983</v>
      </c>
      <c r="K127" s="563" t="b">
        <v>1</v>
      </c>
      <c r="L127" s="52" t="s">
        <v>324</v>
      </c>
      <c r="M127" s="52"/>
      <c r="N127" s="52"/>
      <c r="O127" s="52"/>
      <c r="P127" s="52"/>
      <c r="Q127" s="52"/>
      <c r="R127" s="4"/>
      <c r="S127" s="4"/>
      <c r="T127" s="4"/>
      <c r="U127" s="4"/>
      <c r="V127" s="4"/>
      <c r="W127"/>
      <c r="X127"/>
    </row>
    <row r="128" spans="1:24" s="49" customFormat="1">
      <c r="A128" s="781">
        <v>2</v>
      </c>
      <c r="B128" s="723" t="s">
        <v>640</v>
      </c>
      <c r="C128" s="723"/>
      <c r="D128" s="494"/>
      <c r="E128" s="494"/>
      <c r="F128" s="494"/>
      <c r="G128" s="494"/>
      <c r="H128" s="779">
        <v>1.6</v>
      </c>
      <c r="I128" s="779">
        <v>10</v>
      </c>
      <c r="J128" s="748">
        <f t="shared" ref="J128:J191" si="8">(0.5091-161.58*I128)/(1+484.2*I128-16.14*POWER(I128,2))</f>
        <v>-0.50024493651285229</v>
      </c>
      <c r="K128" s="563" t="b">
        <v>0</v>
      </c>
      <c r="L128" s="52" t="s">
        <v>325</v>
      </c>
      <c r="M128" s="52"/>
      <c r="N128" s="52"/>
      <c r="O128" s="52"/>
      <c r="P128" s="52"/>
      <c r="Q128" s="52"/>
      <c r="R128" s="52"/>
      <c r="S128" s="52"/>
      <c r="T128" s="52"/>
      <c r="U128" s="52"/>
      <c r="V128" s="52"/>
    </row>
    <row r="129" spans="1:31" s="49" customFormat="1">
      <c r="A129" s="781">
        <v>3</v>
      </c>
      <c r="B129" s="723" t="s">
        <v>641</v>
      </c>
      <c r="C129" s="723"/>
      <c r="D129" s="723" t="s">
        <v>642</v>
      </c>
      <c r="E129" s="494"/>
      <c r="F129" s="494"/>
      <c r="G129" s="494"/>
      <c r="H129" s="779">
        <v>1.6</v>
      </c>
      <c r="I129" s="779">
        <v>10</v>
      </c>
      <c r="J129" s="748">
        <f t="shared" si="8"/>
        <v>-0.50024493651285229</v>
      </c>
      <c r="K129" s="563" t="b">
        <v>0</v>
      </c>
      <c r="L129" s="52"/>
      <c r="M129" s="52"/>
      <c r="N129" s="52"/>
      <c r="O129" s="52"/>
      <c r="P129" s="52"/>
      <c r="Q129" s="52"/>
      <c r="R129" s="52"/>
      <c r="S129" s="52"/>
      <c r="T129" s="52"/>
      <c r="U129" s="52"/>
      <c r="V129" s="52"/>
    </row>
    <row r="130" spans="1:31" s="49" customFormat="1">
      <c r="A130" s="781">
        <v>4</v>
      </c>
      <c r="B130" s="723" t="s">
        <v>643</v>
      </c>
      <c r="C130" s="723"/>
      <c r="D130" s="494"/>
      <c r="E130" s="494"/>
      <c r="F130" s="494"/>
      <c r="G130" s="494"/>
      <c r="H130" s="779">
        <v>1.6</v>
      </c>
      <c r="I130" s="779">
        <v>10</v>
      </c>
      <c r="J130" s="748">
        <f t="shared" si="8"/>
        <v>-0.50024493651285229</v>
      </c>
      <c r="K130" s="563" t="b">
        <v>0</v>
      </c>
      <c r="L130" s="52" t="s">
        <v>326</v>
      </c>
      <c r="M130" s="52"/>
      <c r="N130" s="52"/>
      <c r="O130" s="52"/>
      <c r="P130" s="52"/>
      <c r="Q130" s="52"/>
      <c r="R130" s="52"/>
      <c r="S130" s="52"/>
      <c r="T130" s="52"/>
      <c r="U130" s="52"/>
      <c r="V130" s="52"/>
    </row>
    <row r="131" spans="1:31" s="49" customFormat="1" ht="12" thickBot="1">
      <c r="A131" s="781">
        <v>5</v>
      </c>
      <c r="B131" s="723" t="s">
        <v>644</v>
      </c>
      <c r="C131" s="723"/>
      <c r="D131" s="723" t="s">
        <v>645</v>
      </c>
      <c r="E131" s="494"/>
      <c r="F131" s="494"/>
      <c r="G131" s="494"/>
      <c r="H131" s="779">
        <v>7.1</v>
      </c>
      <c r="I131" s="779">
        <v>10</v>
      </c>
      <c r="J131" s="748">
        <f t="shared" si="8"/>
        <v>-0.50024493651285229</v>
      </c>
      <c r="K131" s="563" t="b">
        <v>0</v>
      </c>
      <c r="L131" s="52"/>
      <c r="M131" s="52"/>
      <c r="N131" s="52"/>
      <c r="O131" s="52"/>
      <c r="P131" s="52"/>
      <c r="Q131" s="52"/>
      <c r="R131" s="52"/>
      <c r="S131"/>
      <c r="T131"/>
      <c r="U131"/>
      <c r="V131"/>
      <c r="W131"/>
      <c r="X131"/>
      <c r="Y131"/>
      <c r="Z131"/>
      <c r="AA131"/>
      <c r="AC131" s="49" t="s">
        <v>320</v>
      </c>
    </row>
    <row r="132" spans="1:31" s="49" customFormat="1">
      <c r="A132" s="781">
        <v>6</v>
      </c>
      <c r="B132" s="723" t="s">
        <v>646</v>
      </c>
      <c r="C132" s="723"/>
      <c r="D132" s="723" t="s">
        <v>647</v>
      </c>
      <c r="E132" s="494"/>
      <c r="F132" s="494"/>
      <c r="G132" s="494"/>
      <c r="H132" s="779">
        <v>1.6</v>
      </c>
      <c r="I132" s="779">
        <v>10</v>
      </c>
      <c r="J132" s="748">
        <f t="shared" si="8"/>
        <v>-0.50024493651285229</v>
      </c>
      <c r="K132" s="563" t="b">
        <v>0</v>
      </c>
      <c r="L132" s="52"/>
      <c r="M132" s="52"/>
      <c r="N132" s="52"/>
      <c r="O132" s="52"/>
      <c r="P132" s="52"/>
      <c r="Q132" s="52"/>
      <c r="R132" s="52"/>
      <c r="S132" s="541"/>
      <c r="T132" s="128"/>
      <c r="U132" s="128"/>
      <c r="V132" s="128"/>
      <c r="W132" s="128"/>
      <c r="X132" s="128"/>
      <c r="Y132" s="128"/>
      <c r="Z132" s="128"/>
      <c r="AA132" s="129"/>
      <c r="AC132" s="49" t="s">
        <v>321</v>
      </c>
      <c r="AE132" s="49" t="s">
        <v>323</v>
      </c>
    </row>
    <row r="133" spans="1:31" s="49" customFormat="1">
      <c r="A133" s="781">
        <v>7</v>
      </c>
      <c r="B133" s="723" t="s">
        <v>648</v>
      </c>
      <c r="C133" s="723"/>
      <c r="D133" s="723" t="s">
        <v>649</v>
      </c>
      <c r="E133" s="494"/>
      <c r="F133" s="494"/>
      <c r="G133" s="494"/>
      <c r="H133" s="779">
        <v>4.4000000000000004</v>
      </c>
      <c r="I133" s="779">
        <v>10</v>
      </c>
      <c r="J133" s="748">
        <f t="shared" si="8"/>
        <v>-0.50024493651285229</v>
      </c>
      <c r="K133" s="563" t="b">
        <v>0</v>
      </c>
      <c r="L133" s="52"/>
      <c r="M133" s="52"/>
      <c r="N133" s="52"/>
      <c r="O133" s="52"/>
      <c r="P133" s="52"/>
      <c r="Q133" s="52"/>
      <c r="R133" s="52"/>
      <c r="S133" s="648" t="s">
        <v>322</v>
      </c>
      <c r="T133" s="494"/>
      <c r="U133" s="494"/>
      <c r="V133" s="494"/>
      <c r="W133" s="600"/>
      <c r="X133" s="600"/>
      <c r="Y133" s="600"/>
      <c r="Z133" s="600"/>
      <c r="AA133" s="601"/>
      <c r="AB133"/>
      <c r="AC133"/>
    </row>
    <row r="134" spans="1:31" s="49" customFormat="1" ht="12" thickBot="1">
      <c r="A134" s="781">
        <v>8</v>
      </c>
      <c r="B134" s="723" t="s">
        <v>1048</v>
      </c>
      <c r="C134" s="723" t="s">
        <v>451</v>
      </c>
      <c r="D134" s="723" t="s">
        <v>651</v>
      </c>
      <c r="E134" s="494"/>
      <c r="F134" s="494"/>
      <c r="G134" s="494"/>
      <c r="H134" s="779">
        <v>8</v>
      </c>
      <c r="I134" s="779">
        <v>5</v>
      </c>
      <c r="J134" s="748">
        <f t="shared" si="8"/>
        <v>-0.3999954917017588</v>
      </c>
      <c r="K134" s="563" t="b">
        <v>1</v>
      </c>
      <c r="L134" s="52" t="s">
        <v>324</v>
      </c>
      <c r="M134" s="52"/>
      <c r="N134" s="52"/>
      <c r="O134" s="52"/>
      <c r="P134" s="52"/>
      <c r="Q134" s="52"/>
      <c r="R134" s="4"/>
      <c r="S134" s="649"/>
      <c r="T134" s="650" t="s">
        <v>422</v>
      </c>
      <c r="U134" s="650"/>
      <c r="V134" s="650"/>
      <c r="W134" s="602"/>
      <c r="X134" s="602"/>
      <c r="Y134" s="602"/>
      <c r="Z134" s="602"/>
      <c r="AA134" s="168"/>
    </row>
    <row r="135" spans="1:31" s="49" customFormat="1">
      <c r="A135" s="781">
        <v>9</v>
      </c>
      <c r="B135" s="723" t="s">
        <v>453</v>
      </c>
      <c r="C135" s="723" t="s">
        <v>452</v>
      </c>
      <c r="D135" s="723" t="s">
        <v>655</v>
      </c>
      <c r="E135" s="494"/>
      <c r="F135" s="494"/>
      <c r="G135" s="494"/>
      <c r="H135" s="779">
        <v>1</v>
      </c>
      <c r="I135" s="779">
        <v>19</v>
      </c>
      <c r="J135" s="748">
        <f t="shared" si="8"/>
        <v>-0.9096841677879004</v>
      </c>
      <c r="K135" s="563" t="b">
        <v>1</v>
      </c>
      <c r="L135" s="52" t="s">
        <v>324</v>
      </c>
      <c r="M135" s="52"/>
      <c r="N135" s="52"/>
      <c r="O135" s="52"/>
      <c r="P135" s="52"/>
      <c r="Q135" s="52"/>
      <c r="R135" s="52"/>
      <c r="S135" s="52"/>
      <c r="T135" s="52"/>
      <c r="U135" s="52"/>
      <c r="V135" s="52"/>
    </row>
    <row r="136" spans="1:31" s="49" customFormat="1">
      <c r="A136" s="781">
        <v>10</v>
      </c>
      <c r="B136" s="723" t="s">
        <v>656</v>
      </c>
      <c r="C136" s="723"/>
      <c r="D136" s="723" t="s">
        <v>657</v>
      </c>
      <c r="E136" s="494"/>
      <c r="F136" s="494"/>
      <c r="G136" s="494"/>
      <c r="H136" s="779">
        <v>1.6</v>
      </c>
      <c r="I136" s="779">
        <v>10</v>
      </c>
      <c r="J136" s="748">
        <f t="shared" si="8"/>
        <v>-0.50024493651285229</v>
      </c>
      <c r="K136" s="563" t="b">
        <v>0</v>
      </c>
      <c r="L136" s="52"/>
      <c r="M136" s="52"/>
      <c r="N136" s="52"/>
      <c r="O136" s="52"/>
      <c r="P136" s="52"/>
      <c r="Q136" s="52"/>
      <c r="R136" s="52"/>
      <c r="S136" s="52"/>
      <c r="T136" s="52"/>
      <c r="U136" s="52"/>
      <c r="V136" s="52"/>
    </row>
    <row r="137" spans="1:31" s="49" customFormat="1">
      <c r="A137" s="781">
        <v>11</v>
      </c>
      <c r="B137" s="723" t="s">
        <v>652</v>
      </c>
      <c r="C137" s="723"/>
      <c r="D137" s="723" t="s">
        <v>653</v>
      </c>
      <c r="E137" s="494"/>
      <c r="F137" s="494"/>
      <c r="G137" s="494"/>
      <c r="H137" s="779">
        <v>2</v>
      </c>
      <c r="I137" s="779">
        <v>10</v>
      </c>
      <c r="J137" s="748">
        <f t="shared" si="8"/>
        <v>-0.50024493651285229</v>
      </c>
      <c r="K137" s="563" t="b">
        <v>0</v>
      </c>
      <c r="L137" s="52"/>
      <c r="M137" s="52"/>
      <c r="N137" s="52"/>
      <c r="O137" s="52"/>
      <c r="P137" s="52"/>
      <c r="Q137" s="52"/>
      <c r="R137" s="52"/>
      <c r="S137" s="52"/>
      <c r="T137" s="52"/>
      <c r="U137" s="52"/>
      <c r="V137" s="52"/>
    </row>
    <row r="138" spans="1:31" s="52" customFormat="1">
      <c r="A138" s="781">
        <v>12</v>
      </c>
      <c r="B138" s="494" t="s">
        <v>392</v>
      </c>
      <c r="C138" s="494"/>
      <c r="D138" s="723" t="s">
        <v>396</v>
      </c>
      <c r="E138" s="494"/>
      <c r="F138" s="494"/>
      <c r="G138" s="238"/>
      <c r="H138" s="238">
        <v>1.3</v>
      </c>
      <c r="I138" s="238">
        <v>10</v>
      </c>
      <c r="J138" s="748">
        <f t="shared" si="8"/>
        <v>-0.50024493651285229</v>
      </c>
      <c r="K138" s="563" t="b">
        <v>0</v>
      </c>
      <c r="L138" s="52" t="s">
        <v>394</v>
      </c>
    </row>
    <row r="139" spans="1:31" s="52" customFormat="1">
      <c r="A139" s="781">
        <v>13</v>
      </c>
      <c r="B139" s="494" t="s">
        <v>391</v>
      </c>
      <c r="C139" s="494"/>
      <c r="D139" s="494" t="s">
        <v>397</v>
      </c>
      <c r="E139" s="494"/>
      <c r="F139" s="494"/>
      <c r="G139" s="238"/>
      <c r="H139" s="238">
        <v>1.3</v>
      </c>
      <c r="I139" s="238">
        <v>10</v>
      </c>
      <c r="J139" s="748">
        <f t="shared" si="8"/>
        <v>-0.50024493651285229</v>
      </c>
      <c r="K139" s="563" t="b">
        <v>0</v>
      </c>
      <c r="L139" s="52" t="s">
        <v>394</v>
      </c>
    </row>
    <row r="140" spans="1:31" s="52" customFormat="1">
      <c r="A140" s="781">
        <v>14</v>
      </c>
      <c r="B140" s="723" t="s">
        <v>660</v>
      </c>
      <c r="C140" s="723"/>
      <c r="D140" s="723" t="s">
        <v>661</v>
      </c>
      <c r="E140" s="494"/>
      <c r="F140" s="494"/>
      <c r="G140" s="494"/>
      <c r="H140" s="779">
        <v>2.5</v>
      </c>
      <c r="I140" s="779">
        <v>10</v>
      </c>
      <c r="J140" s="748">
        <f t="shared" si="8"/>
        <v>-0.50024493651285229</v>
      </c>
      <c r="K140" s="563" t="b">
        <v>1</v>
      </c>
      <c r="L140" s="52" t="s">
        <v>342</v>
      </c>
    </row>
    <row r="141" spans="1:31" s="52" customFormat="1">
      <c r="A141" s="781">
        <v>15</v>
      </c>
      <c r="B141" s="723" t="s">
        <v>662</v>
      </c>
      <c r="C141" s="723"/>
      <c r="D141" s="723" t="s">
        <v>663</v>
      </c>
      <c r="E141" s="494"/>
      <c r="F141" s="494"/>
      <c r="G141" s="494"/>
      <c r="H141" s="779">
        <v>6</v>
      </c>
      <c r="I141" s="779">
        <v>10</v>
      </c>
      <c r="J141" s="748">
        <f t="shared" si="8"/>
        <v>-0.50024493651285229</v>
      </c>
      <c r="K141" s="563" t="b">
        <v>0</v>
      </c>
    </row>
    <row r="142" spans="1:31" s="52" customFormat="1">
      <c r="A142" s="781">
        <v>16</v>
      </c>
      <c r="B142" s="723" t="s">
        <v>664</v>
      </c>
      <c r="C142" s="723"/>
      <c r="D142" s="723" t="s">
        <v>665</v>
      </c>
      <c r="E142" s="494"/>
      <c r="F142" s="494"/>
      <c r="G142" s="494"/>
      <c r="H142" s="779">
        <v>2.5</v>
      </c>
      <c r="I142" s="779">
        <v>10</v>
      </c>
      <c r="J142" s="748">
        <f t="shared" si="8"/>
        <v>-0.50024493651285229</v>
      </c>
      <c r="K142" s="563" t="b">
        <v>1</v>
      </c>
      <c r="L142" s="52" t="s">
        <v>327</v>
      </c>
    </row>
    <row r="143" spans="1:31" s="52" customFormat="1">
      <c r="A143" s="781">
        <v>17</v>
      </c>
      <c r="B143" s="723" t="s">
        <v>676</v>
      </c>
      <c r="C143" s="723"/>
      <c r="D143" s="494"/>
      <c r="E143" s="494"/>
      <c r="F143" s="494"/>
      <c r="G143" s="494"/>
      <c r="H143" s="779">
        <v>4</v>
      </c>
      <c r="I143" s="779">
        <v>10</v>
      </c>
      <c r="J143" s="748">
        <f t="shared" si="8"/>
        <v>-0.50024493651285229</v>
      </c>
      <c r="K143" s="563" t="b">
        <v>0</v>
      </c>
    </row>
    <row r="144" spans="1:31" s="52" customFormat="1">
      <c r="A144" s="781">
        <v>18</v>
      </c>
      <c r="B144" s="723" t="s">
        <v>666</v>
      </c>
      <c r="C144" s="723"/>
      <c r="D144" s="723" t="s">
        <v>667</v>
      </c>
      <c r="E144" s="494"/>
      <c r="F144" s="494"/>
      <c r="G144" s="494"/>
      <c r="H144" s="779">
        <v>3</v>
      </c>
      <c r="I144" s="779">
        <v>10</v>
      </c>
      <c r="J144" s="748">
        <f t="shared" si="8"/>
        <v>-0.50024493651285229</v>
      </c>
      <c r="K144" s="563" t="b">
        <v>0</v>
      </c>
    </row>
    <row r="145" spans="1:12" s="52" customFormat="1">
      <c r="A145" s="781">
        <v>19</v>
      </c>
      <c r="B145" s="723" t="s">
        <v>668</v>
      </c>
      <c r="C145" s="723"/>
      <c r="D145" s="723" t="s">
        <v>669</v>
      </c>
      <c r="E145" s="494"/>
      <c r="F145" s="494"/>
      <c r="G145" s="494"/>
      <c r="H145" s="779">
        <v>1.5</v>
      </c>
      <c r="I145" s="779">
        <v>10</v>
      </c>
      <c r="J145" s="748">
        <f t="shared" si="8"/>
        <v>-0.50024493651285229</v>
      </c>
      <c r="K145" s="563" t="b">
        <v>1</v>
      </c>
      <c r="L145" s="52" t="s">
        <v>328</v>
      </c>
    </row>
    <row r="146" spans="1:12" s="52" customFormat="1">
      <c r="A146" s="781">
        <v>20</v>
      </c>
      <c r="B146" s="723" t="s">
        <v>670</v>
      </c>
      <c r="C146" s="723"/>
      <c r="D146" s="723" t="s">
        <v>671</v>
      </c>
      <c r="E146" s="494"/>
      <c r="F146" s="494"/>
      <c r="G146" s="494"/>
      <c r="H146" s="779">
        <v>2.5</v>
      </c>
      <c r="I146" s="779">
        <v>10</v>
      </c>
      <c r="J146" s="748">
        <f t="shared" si="8"/>
        <v>-0.50024493651285229</v>
      </c>
      <c r="K146" s="563" t="b">
        <v>1</v>
      </c>
    </row>
    <row r="147" spans="1:12" s="52" customFormat="1">
      <c r="A147" s="781">
        <v>21</v>
      </c>
      <c r="B147" s="723" t="s">
        <v>672</v>
      </c>
      <c r="C147" s="723"/>
      <c r="D147" s="494"/>
      <c r="E147" s="494"/>
      <c r="F147" s="494"/>
      <c r="G147" s="494"/>
      <c r="H147" s="779">
        <v>1.5</v>
      </c>
      <c r="I147" s="779">
        <v>10</v>
      </c>
      <c r="J147" s="748">
        <f t="shared" si="8"/>
        <v>-0.50024493651285229</v>
      </c>
      <c r="K147" s="563" t="b">
        <v>0</v>
      </c>
    </row>
    <row r="148" spans="1:12" s="52" customFormat="1">
      <c r="A148" s="781">
        <v>22</v>
      </c>
      <c r="B148" s="723" t="s">
        <v>673</v>
      </c>
      <c r="C148" s="723"/>
      <c r="D148" s="494"/>
      <c r="E148" s="494"/>
      <c r="F148" s="494"/>
      <c r="G148" s="494"/>
      <c r="H148" s="779">
        <v>1.5</v>
      </c>
      <c r="I148" s="779">
        <v>10</v>
      </c>
      <c r="J148" s="748">
        <f t="shared" si="8"/>
        <v>-0.50024493651285229</v>
      </c>
      <c r="K148" s="563" t="b">
        <v>1</v>
      </c>
    </row>
    <row r="149" spans="1:12" s="52" customFormat="1">
      <c r="A149" s="781">
        <v>23</v>
      </c>
      <c r="B149" s="723" t="s">
        <v>456</v>
      </c>
      <c r="C149" s="723" t="s">
        <v>457</v>
      </c>
      <c r="D149" s="723" t="s">
        <v>675</v>
      </c>
      <c r="E149" s="494"/>
      <c r="F149" s="494"/>
      <c r="G149" s="494"/>
      <c r="H149" s="779">
        <v>1.5</v>
      </c>
      <c r="I149" s="779">
        <v>5.7</v>
      </c>
      <c r="J149" s="748">
        <f t="shared" si="8"/>
        <v>-0.41156974974954746</v>
      </c>
      <c r="K149" s="563" t="b">
        <v>1</v>
      </c>
    </row>
    <row r="150" spans="1:12" s="52" customFormat="1">
      <c r="A150" s="781">
        <v>24</v>
      </c>
      <c r="B150" s="723" t="s">
        <v>455</v>
      </c>
      <c r="C150" s="723" t="s">
        <v>454</v>
      </c>
      <c r="D150" s="723" t="s">
        <v>306</v>
      </c>
      <c r="E150" s="494"/>
      <c r="F150" s="494"/>
      <c r="G150" s="494"/>
      <c r="H150" s="779">
        <v>1.5</v>
      </c>
      <c r="I150" s="779">
        <v>12</v>
      </c>
      <c r="J150" s="748">
        <f t="shared" si="8"/>
        <v>-0.555869656232436</v>
      </c>
      <c r="K150" s="563" t="b">
        <v>1</v>
      </c>
      <c r="L150" s="52" t="s">
        <v>324</v>
      </c>
    </row>
    <row r="151" spans="1:12" s="52" customFormat="1">
      <c r="A151" s="781">
        <v>25</v>
      </c>
      <c r="B151" s="713" t="s">
        <v>388</v>
      </c>
      <c r="C151" s="713"/>
      <c r="D151" s="723" t="s">
        <v>659</v>
      </c>
      <c r="E151" s="494"/>
      <c r="F151" s="494"/>
      <c r="G151" s="494"/>
      <c r="H151" s="779">
        <v>13</v>
      </c>
      <c r="I151" s="779">
        <v>10</v>
      </c>
      <c r="J151" s="748">
        <f t="shared" si="8"/>
        <v>-0.50024493651285229</v>
      </c>
      <c r="K151" s="563" t="b">
        <v>1</v>
      </c>
      <c r="L151" s="52" t="s">
        <v>339</v>
      </c>
    </row>
    <row r="152" spans="1:12" s="52" customFormat="1">
      <c r="A152" s="781">
        <v>26</v>
      </c>
      <c r="B152" s="723" t="s">
        <v>677</v>
      </c>
      <c r="C152" s="723"/>
      <c r="D152" s="723" t="s">
        <v>678</v>
      </c>
      <c r="E152" s="494"/>
      <c r="F152" s="494"/>
      <c r="G152" s="494"/>
      <c r="H152" s="779">
        <v>2</v>
      </c>
      <c r="I152" s="779">
        <v>10</v>
      </c>
      <c r="J152" s="748">
        <f t="shared" si="8"/>
        <v>-0.50024493651285229</v>
      </c>
      <c r="K152" s="563" t="b">
        <v>1</v>
      </c>
    </row>
    <row r="153" spans="1:12" s="52" customFormat="1">
      <c r="A153" s="781">
        <v>27</v>
      </c>
      <c r="B153" s="716" t="s">
        <v>1033</v>
      </c>
      <c r="C153" s="716"/>
      <c r="D153" s="716" t="s">
        <v>681</v>
      </c>
      <c r="E153" s="714"/>
      <c r="F153" s="714"/>
      <c r="G153" s="714"/>
      <c r="H153" s="721">
        <v>2.5</v>
      </c>
      <c r="I153" s="721">
        <v>10</v>
      </c>
      <c r="J153" s="748">
        <f t="shared" si="8"/>
        <v>-0.50024493651285229</v>
      </c>
      <c r="K153" s="711" t="b">
        <v>1</v>
      </c>
    </row>
    <row r="154" spans="1:12" s="52" customFormat="1">
      <c r="A154" s="781">
        <v>28</v>
      </c>
      <c r="B154" s="723" t="s">
        <v>682</v>
      </c>
      <c r="C154" s="723"/>
      <c r="D154" s="723" t="s">
        <v>683</v>
      </c>
      <c r="E154" s="494"/>
      <c r="F154" s="494"/>
      <c r="G154" s="494"/>
      <c r="H154" s="779">
        <v>2.5</v>
      </c>
      <c r="I154" s="779">
        <v>10</v>
      </c>
      <c r="J154" s="748">
        <f t="shared" si="8"/>
        <v>-0.50024493651285229</v>
      </c>
      <c r="K154" s="563" t="b">
        <v>1</v>
      </c>
      <c r="L154" s="52" t="s">
        <v>329</v>
      </c>
    </row>
    <row r="155" spans="1:12" s="52" customFormat="1">
      <c r="A155" s="781">
        <v>29</v>
      </c>
      <c r="B155" s="723" t="s">
        <v>960</v>
      </c>
      <c r="C155" s="723"/>
      <c r="D155" s="723" t="s">
        <v>684</v>
      </c>
      <c r="E155" s="494"/>
      <c r="F155" s="494"/>
      <c r="G155" s="494"/>
      <c r="H155" s="779">
        <v>7.7</v>
      </c>
      <c r="I155" s="779">
        <v>5.2</v>
      </c>
      <c r="J155" s="748">
        <f t="shared" si="8"/>
        <v>-0.4032371750790813</v>
      </c>
      <c r="K155" s="563" t="b">
        <v>1</v>
      </c>
      <c r="L155" s="52" t="s">
        <v>324</v>
      </c>
    </row>
    <row r="156" spans="1:12" s="52" customFormat="1">
      <c r="A156" s="781">
        <v>30</v>
      </c>
      <c r="B156" s="723" t="s">
        <v>687</v>
      </c>
      <c r="C156" s="723"/>
      <c r="D156" s="723" t="s">
        <v>688</v>
      </c>
      <c r="E156" s="494"/>
      <c r="F156" s="494"/>
      <c r="G156" s="494"/>
      <c r="H156" s="779">
        <v>1.3</v>
      </c>
      <c r="I156" s="779">
        <v>14</v>
      </c>
      <c r="J156" s="748">
        <f t="shared" si="8"/>
        <v>-0.62538323065181567</v>
      </c>
      <c r="K156" s="563" t="b">
        <v>1</v>
      </c>
      <c r="L156" s="52" t="s">
        <v>341</v>
      </c>
    </row>
    <row r="157" spans="1:12" s="52" customFormat="1">
      <c r="A157" s="781">
        <v>31</v>
      </c>
      <c r="B157" s="723" t="s">
        <v>679</v>
      </c>
      <c r="C157" s="723"/>
      <c r="D157" s="723" t="s">
        <v>680</v>
      </c>
      <c r="E157" s="494"/>
      <c r="F157" s="494"/>
      <c r="G157" s="494"/>
      <c r="H157" s="779">
        <v>2</v>
      </c>
      <c r="I157" s="779">
        <v>10</v>
      </c>
      <c r="J157" s="748">
        <f t="shared" si="8"/>
        <v>-0.50024493651285229</v>
      </c>
      <c r="K157" s="563" t="b">
        <v>0</v>
      </c>
    </row>
    <row r="158" spans="1:12" s="52" customFormat="1">
      <c r="A158" s="781">
        <v>32</v>
      </c>
      <c r="B158" s="723" t="s">
        <v>685</v>
      </c>
      <c r="C158" s="723"/>
      <c r="D158" s="723" t="s">
        <v>686</v>
      </c>
      <c r="E158" s="494"/>
      <c r="F158" s="494"/>
      <c r="G158" s="494"/>
      <c r="H158" s="779">
        <v>2.5</v>
      </c>
      <c r="I158" s="779">
        <v>13</v>
      </c>
      <c r="J158" s="748">
        <f t="shared" si="8"/>
        <v>-0.58858358044137515</v>
      </c>
      <c r="K158" s="563" t="b">
        <v>1</v>
      </c>
      <c r="L158" s="52" t="s">
        <v>324</v>
      </c>
    </row>
    <row r="159" spans="1:12" s="52" customFormat="1">
      <c r="A159" s="781">
        <v>33</v>
      </c>
      <c r="B159" s="723" t="s">
        <v>694</v>
      </c>
      <c r="C159" s="723"/>
      <c r="D159" s="494"/>
      <c r="E159" s="494"/>
      <c r="F159" s="494"/>
      <c r="G159" s="494"/>
      <c r="H159" s="779">
        <v>2</v>
      </c>
      <c r="I159" s="779">
        <v>10</v>
      </c>
      <c r="J159" s="748">
        <f t="shared" si="8"/>
        <v>-0.50024493651285229</v>
      </c>
      <c r="K159" s="563" t="b">
        <v>0</v>
      </c>
    </row>
    <row r="160" spans="1:12" s="52" customFormat="1">
      <c r="A160" s="781">
        <v>34</v>
      </c>
      <c r="B160" s="723" t="s">
        <v>689</v>
      </c>
      <c r="C160" s="723"/>
      <c r="D160" s="723" t="s">
        <v>690</v>
      </c>
      <c r="E160" s="494"/>
      <c r="F160" s="494"/>
      <c r="G160" s="494"/>
      <c r="H160" s="779">
        <v>4</v>
      </c>
      <c r="I160" s="779">
        <v>3.6</v>
      </c>
      <c r="J160" s="748">
        <f t="shared" si="8"/>
        <v>-0.37863159450080847</v>
      </c>
      <c r="K160" s="563" t="b">
        <v>1</v>
      </c>
      <c r="L160" s="52" t="s">
        <v>324</v>
      </c>
    </row>
    <row r="161" spans="1:22" s="52" customFormat="1">
      <c r="A161" s="781">
        <v>35</v>
      </c>
      <c r="B161" s="723" t="s">
        <v>691</v>
      </c>
      <c r="C161" s="723"/>
      <c r="D161" s="494"/>
      <c r="E161" s="494"/>
      <c r="F161" s="494"/>
      <c r="G161" s="494"/>
      <c r="H161" s="779">
        <v>1.6</v>
      </c>
      <c r="I161" s="779">
        <v>10</v>
      </c>
      <c r="J161" s="748">
        <f t="shared" si="8"/>
        <v>-0.50024493651285229</v>
      </c>
      <c r="K161" s="563" t="b">
        <v>0</v>
      </c>
    </row>
    <row r="162" spans="1:22" s="52" customFormat="1">
      <c r="A162" s="781">
        <v>36</v>
      </c>
      <c r="B162" s="723" t="s">
        <v>693</v>
      </c>
      <c r="C162" s="723"/>
      <c r="D162" s="494"/>
      <c r="E162" s="494"/>
      <c r="F162" s="494"/>
      <c r="G162" s="494"/>
      <c r="H162" s="779">
        <v>2.5</v>
      </c>
      <c r="I162" s="779">
        <v>10</v>
      </c>
      <c r="J162" s="748">
        <f t="shared" si="8"/>
        <v>-0.50024493651285229</v>
      </c>
      <c r="K162" s="563" t="b">
        <v>0</v>
      </c>
    </row>
    <row r="163" spans="1:22" s="52" customFormat="1">
      <c r="A163" s="781">
        <v>37</v>
      </c>
      <c r="B163" s="723" t="s">
        <v>344</v>
      </c>
      <c r="C163" s="723"/>
      <c r="D163" s="723" t="s">
        <v>692</v>
      </c>
      <c r="E163" s="494"/>
      <c r="F163" s="494"/>
      <c r="G163" s="494"/>
      <c r="H163" s="779">
        <v>3.9</v>
      </c>
      <c r="I163" s="779">
        <v>5.3</v>
      </c>
      <c r="J163" s="748">
        <f t="shared" si="8"/>
        <v>-0.40487724180578405</v>
      </c>
      <c r="K163" s="563" t="b">
        <v>1</v>
      </c>
      <c r="L163" s="52" t="s">
        <v>324</v>
      </c>
    </row>
    <row r="164" spans="1:22" s="52" customFormat="1">
      <c r="A164" s="781">
        <v>38</v>
      </c>
      <c r="B164" s="723" t="s">
        <v>732</v>
      </c>
      <c r="C164" s="723"/>
      <c r="D164" s="494"/>
      <c r="E164" s="494"/>
      <c r="F164" s="494"/>
      <c r="G164" s="494"/>
      <c r="H164" s="779">
        <v>1.6</v>
      </c>
      <c r="I164" s="779">
        <v>10</v>
      </c>
      <c r="J164" s="748">
        <f t="shared" si="8"/>
        <v>-0.50024493651285229</v>
      </c>
      <c r="K164" s="563" t="b">
        <v>0</v>
      </c>
    </row>
    <row r="165" spans="1:22" s="52" customFormat="1">
      <c r="A165" s="781">
        <v>39</v>
      </c>
      <c r="B165" s="723" t="s">
        <v>695</v>
      </c>
      <c r="C165" s="723"/>
      <c r="D165" s="723" t="s">
        <v>696</v>
      </c>
      <c r="E165" s="494"/>
      <c r="F165" s="494"/>
      <c r="G165" s="494"/>
      <c r="H165" s="779">
        <v>3</v>
      </c>
      <c r="I165" s="779">
        <v>10</v>
      </c>
      <c r="J165" s="748">
        <f t="shared" si="8"/>
        <v>-0.50024493651285229</v>
      </c>
      <c r="K165" s="563" t="b">
        <v>1</v>
      </c>
      <c r="L165" s="52" t="s">
        <v>330</v>
      </c>
    </row>
    <row r="166" spans="1:22" s="52" customFormat="1">
      <c r="A166" s="781">
        <v>40</v>
      </c>
      <c r="B166" s="723" t="s">
        <v>697</v>
      </c>
      <c r="C166" s="723"/>
      <c r="D166" s="494"/>
      <c r="E166" s="494"/>
      <c r="F166" s="494"/>
      <c r="G166" s="494"/>
      <c r="H166" s="779">
        <v>4</v>
      </c>
      <c r="I166" s="779">
        <v>10</v>
      </c>
      <c r="J166" s="748">
        <f t="shared" si="8"/>
        <v>-0.50024493651285229</v>
      </c>
      <c r="K166" s="563" t="b">
        <v>0</v>
      </c>
    </row>
    <row r="167" spans="1:22" s="52" customFormat="1">
      <c r="A167" s="781">
        <v>41</v>
      </c>
      <c r="B167" s="723" t="s">
        <v>698</v>
      </c>
      <c r="C167" s="723"/>
      <c r="D167" s="494"/>
      <c r="E167" s="494"/>
      <c r="F167" s="494"/>
      <c r="G167" s="494"/>
      <c r="H167" s="779">
        <v>1.6</v>
      </c>
      <c r="I167" s="779">
        <v>10</v>
      </c>
      <c r="J167" s="748">
        <f t="shared" si="8"/>
        <v>-0.50024493651285229</v>
      </c>
      <c r="K167" s="563" t="b">
        <v>0</v>
      </c>
    </row>
    <row r="168" spans="1:22" s="52" customFormat="1">
      <c r="A168" s="781">
        <v>42</v>
      </c>
      <c r="B168" s="723" t="s">
        <v>968</v>
      </c>
      <c r="C168" s="723"/>
      <c r="D168" s="723" t="s">
        <v>699</v>
      </c>
      <c r="E168" s="494"/>
      <c r="F168" s="494"/>
      <c r="G168" s="494"/>
      <c r="H168" s="779">
        <v>2</v>
      </c>
      <c r="I168" s="779">
        <v>10</v>
      </c>
      <c r="J168" s="748">
        <f t="shared" si="8"/>
        <v>-0.50024493651285229</v>
      </c>
      <c r="K168" s="563" t="b">
        <v>0</v>
      </c>
    </row>
    <row r="169" spans="1:22" s="52" customFormat="1">
      <c r="A169" s="781">
        <v>43</v>
      </c>
      <c r="B169" s="723" t="s">
        <v>700</v>
      </c>
      <c r="C169" s="723"/>
      <c r="D169" s="494"/>
      <c r="E169" s="494"/>
      <c r="F169" s="494"/>
      <c r="G169" s="494"/>
      <c r="H169" s="779">
        <v>2.5</v>
      </c>
      <c r="I169" s="779">
        <v>10</v>
      </c>
      <c r="J169" s="748">
        <f t="shared" si="8"/>
        <v>-0.50024493651285229</v>
      </c>
      <c r="K169" s="563" t="b">
        <v>0</v>
      </c>
      <c r="L169" s="52" t="s">
        <v>331</v>
      </c>
    </row>
    <row r="170" spans="1:22" s="52" customFormat="1">
      <c r="A170" s="781">
        <v>44</v>
      </c>
      <c r="B170" s="723" t="s">
        <v>701</v>
      </c>
      <c r="C170" s="723"/>
      <c r="D170" s="494"/>
      <c r="E170" s="494"/>
      <c r="F170" s="494"/>
      <c r="G170" s="494"/>
      <c r="H170" s="779">
        <v>4</v>
      </c>
      <c r="I170" s="779">
        <v>10</v>
      </c>
      <c r="J170" s="748">
        <f t="shared" si="8"/>
        <v>-0.50024493651285229</v>
      </c>
      <c r="K170" s="563" t="b">
        <v>0</v>
      </c>
    </row>
    <row r="171" spans="1:22" s="52" customFormat="1">
      <c r="A171" s="781">
        <v>45</v>
      </c>
      <c r="B171" s="723" t="s">
        <v>702</v>
      </c>
      <c r="C171" s="723"/>
      <c r="D171" s="723" t="s">
        <v>703</v>
      </c>
      <c r="E171" s="494"/>
      <c r="F171" s="494"/>
      <c r="G171" s="494"/>
      <c r="H171" s="779">
        <v>4</v>
      </c>
      <c r="I171" s="779">
        <v>10</v>
      </c>
      <c r="J171" s="748">
        <f t="shared" si="8"/>
        <v>-0.50024493651285229</v>
      </c>
      <c r="K171" s="563" t="b">
        <v>0</v>
      </c>
    </row>
    <row r="172" spans="1:22" s="52" customFormat="1">
      <c r="A172" s="781">
        <v>46</v>
      </c>
      <c r="B172" s="723" t="s">
        <v>704</v>
      </c>
      <c r="C172" s="723"/>
      <c r="D172" s="494"/>
      <c r="E172" s="494"/>
      <c r="F172" s="494"/>
      <c r="G172" s="494"/>
      <c r="H172" s="779">
        <v>4</v>
      </c>
      <c r="I172" s="779">
        <v>10</v>
      </c>
      <c r="J172" s="748">
        <f t="shared" si="8"/>
        <v>-0.50024493651285229</v>
      </c>
      <c r="K172" s="563" t="b">
        <v>0</v>
      </c>
      <c r="P172" s="4"/>
      <c r="Q172" s="4"/>
      <c r="R172" s="4"/>
      <c r="S172" s="4"/>
    </row>
    <row r="173" spans="1:22" s="52" customFormat="1">
      <c r="A173" s="781">
        <v>47</v>
      </c>
      <c r="B173" s="723" t="s">
        <v>705</v>
      </c>
      <c r="C173" s="723"/>
      <c r="D173" s="723" t="s">
        <v>706</v>
      </c>
      <c r="E173" s="494"/>
      <c r="F173" s="494"/>
      <c r="G173" s="494"/>
      <c r="H173" s="779">
        <v>4</v>
      </c>
      <c r="I173" s="779">
        <v>10</v>
      </c>
      <c r="J173" s="748">
        <f t="shared" si="8"/>
        <v>-0.50024493651285229</v>
      </c>
      <c r="K173" s="563" t="b">
        <v>0</v>
      </c>
    </row>
    <row r="174" spans="1:22" s="52" customFormat="1">
      <c r="A174" s="781">
        <v>48</v>
      </c>
      <c r="B174" s="494" t="s">
        <v>393</v>
      </c>
      <c r="C174" s="494"/>
      <c r="D174" s="494" t="s">
        <v>395</v>
      </c>
      <c r="E174" s="494"/>
      <c r="F174" s="494"/>
      <c r="G174" s="238"/>
      <c r="H174" s="238">
        <v>1.3</v>
      </c>
      <c r="I174" s="238">
        <v>10</v>
      </c>
      <c r="J174" s="748">
        <f t="shared" si="8"/>
        <v>-0.50024493651285229</v>
      </c>
      <c r="K174" s="563" t="b">
        <v>0</v>
      </c>
      <c r="L174" s="52" t="s">
        <v>394</v>
      </c>
    </row>
    <row r="175" spans="1:22" s="52" customFormat="1">
      <c r="A175" s="781">
        <v>49</v>
      </c>
      <c r="B175" s="723" t="s">
        <v>707</v>
      </c>
      <c r="C175" s="723"/>
      <c r="D175" s="723" t="s">
        <v>708</v>
      </c>
      <c r="E175" s="494"/>
      <c r="F175" s="494"/>
      <c r="G175" s="494"/>
      <c r="H175" s="779">
        <v>4</v>
      </c>
      <c r="I175" s="779">
        <v>10</v>
      </c>
      <c r="J175" s="748">
        <f t="shared" si="8"/>
        <v>-0.50024493651285229</v>
      </c>
      <c r="K175" s="563" t="b">
        <v>0</v>
      </c>
    </row>
    <row r="176" spans="1:22" s="49" customFormat="1">
      <c r="A176" s="781">
        <v>50</v>
      </c>
      <c r="B176" s="723" t="s">
        <v>709</v>
      </c>
      <c r="C176" s="723"/>
      <c r="D176" s="494"/>
      <c r="E176" s="494"/>
      <c r="F176" s="494"/>
      <c r="G176" s="494"/>
      <c r="H176" s="779">
        <v>1</v>
      </c>
      <c r="I176" s="779">
        <v>10</v>
      </c>
      <c r="J176" s="748">
        <f t="shared" si="8"/>
        <v>-0.50024493651285229</v>
      </c>
      <c r="K176" s="563" t="b">
        <v>0</v>
      </c>
      <c r="L176" s="4"/>
      <c r="M176" s="4"/>
      <c r="N176" s="4"/>
      <c r="O176" s="4"/>
      <c r="P176" s="52"/>
      <c r="Q176" s="52"/>
      <c r="R176" s="52"/>
      <c r="S176" s="52"/>
      <c r="T176" s="52"/>
      <c r="U176" s="52"/>
      <c r="V176" s="52"/>
    </row>
    <row r="177" spans="1:22" s="49" customFormat="1">
      <c r="A177" s="781">
        <v>51</v>
      </c>
      <c r="B177" s="723" t="s">
        <v>712</v>
      </c>
      <c r="C177" s="723"/>
      <c r="D177" s="723" t="s">
        <v>713</v>
      </c>
      <c r="E177" s="494"/>
      <c r="F177" s="494"/>
      <c r="G177" s="494"/>
      <c r="H177" s="779">
        <v>1</v>
      </c>
      <c r="I177" s="779">
        <v>10</v>
      </c>
      <c r="J177" s="748">
        <f t="shared" si="8"/>
        <v>-0.50024493651285229</v>
      </c>
      <c r="K177" s="563" t="b">
        <v>0</v>
      </c>
      <c r="L177" s="52"/>
      <c r="M177" s="52"/>
      <c r="N177" s="52"/>
      <c r="O177" s="52"/>
      <c r="P177" s="52"/>
      <c r="Q177" s="52"/>
      <c r="R177" s="52"/>
      <c r="S177" s="52"/>
      <c r="T177" s="52"/>
      <c r="U177" s="52"/>
      <c r="V177" s="52"/>
    </row>
    <row r="178" spans="1:22" s="49" customFormat="1">
      <c r="A178" s="781">
        <v>52</v>
      </c>
      <c r="B178" s="723" t="s">
        <v>710</v>
      </c>
      <c r="C178" s="723"/>
      <c r="D178" s="723" t="s">
        <v>711</v>
      </c>
      <c r="E178" s="494"/>
      <c r="F178" s="494"/>
      <c r="G178" s="494"/>
      <c r="H178" s="779">
        <v>2</v>
      </c>
      <c r="I178" s="779">
        <v>10</v>
      </c>
      <c r="J178" s="748">
        <f t="shared" si="8"/>
        <v>-0.50024493651285229</v>
      </c>
      <c r="K178" s="563" t="b">
        <v>1</v>
      </c>
      <c r="L178" s="52" t="s">
        <v>332</v>
      </c>
      <c r="M178" s="52"/>
      <c r="N178" s="52"/>
      <c r="O178" s="52"/>
      <c r="P178" s="52"/>
      <c r="Q178" s="52"/>
      <c r="R178" s="52"/>
      <c r="S178" s="52"/>
      <c r="T178" s="52"/>
      <c r="U178" s="52"/>
      <c r="V178" s="52"/>
    </row>
    <row r="179" spans="1:22" s="49" customFormat="1">
      <c r="A179" s="781">
        <v>53</v>
      </c>
      <c r="B179" s="723" t="s">
        <v>714</v>
      </c>
      <c r="C179" s="723"/>
      <c r="D179" s="494"/>
      <c r="E179" s="494"/>
      <c r="F179" s="494"/>
      <c r="G179" s="494"/>
      <c r="H179" s="779">
        <v>4</v>
      </c>
      <c r="I179" s="779">
        <v>10</v>
      </c>
      <c r="J179" s="748">
        <f t="shared" si="8"/>
        <v>-0.50024493651285229</v>
      </c>
      <c r="K179" s="563" t="b">
        <v>0</v>
      </c>
      <c r="L179" s="52"/>
      <c r="M179" s="52"/>
      <c r="N179" s="52"/>
      <c r="O179" s="52"/>
      <c r="P179" s="52"/>
      <c r="Q179" s="52"/>
      <c r="R179" s="52"/>
      <c r="S179" s="52"/>
      <c r="T179" s="52"/>
      <c r="U179" s="52"/>
      <c r="V179" s="52"/>
    </row>
    <row r="180" spans="1:22" s="49" customFormat="1">
      <c r="A180" s="781">
        <v>54</v>
      </c>
      <c r="B180" s="723" t="s">
        <v>715</v>
      </c>
      <c r="C180" s="723"/>
      <c r="D180" s="494"/>
      <c r="E180" s="494"/>
      <c r="F180" s="494"/>
      <c r="G180" s="494"/>
      <c r="H180" s="779">
        <v>4</v>
      </c>
      <c r="I180" s="779">
        <v>10</v>
      </c>
      <c r="J180" s="748">
        <f t="shared" si="8"/>
        <v>-0.50024493651285229</v>
      </c>
      <c r="K180" s="563" t="b">
        <v>0</v>
      </c>
      <c r="L180" s="52"/>
      <c r="M180" s="52"/>
      <c r="N180" s="52"/>
      <c r="O180" s="52"/>
      <c r="P180" s="52"/>
      <c r="Q180" s="52"/>
      <c r="R180" s="52"/>
      <c r="S180" s="52"/>
      <c r="T180" s="52"/>
      <c r="U180" s="52"/>
      <c r="V180" s="52"/>
    </row>
    <row r="181" spans="1:22" s="49" customFormat="1">
      <c r="A181" s="781">
        <v>55</v>
      </c>
      <c r="B181" s="723" t="s">
        <v>978</v>
      </c>
      <c r="C181" s="723"/>
      <c r="D181" s="494"/>
      <c r="E181" s="494"/>
      <c r="F181" s="494"/>
      <c r="G181" s="494"/>
      <c r="H181" s="779">
        <v>2</v>
      </c>
      <c r="I181" s="779">
        <v>10</v>
      </c>
      <c r="J181" s="748">
        <f t="shared" si="8"/>
        <v>-0.50024493651285229</v>
      </c>
      <c r="K181" s="563" t="b">
        <v>0</v>
      </c>
      <c r="L181" s="52"/>
      <c r="M181" s="52"/>
      <c r="N181" s="52"/>
      <c r="O181" s="52"/>
      <c r="P181" s="52"/>
      <c r="Q181" s="52"/>
      <c r="R181" s="52"/>
      <c r="S181" s="52"/>
      <c r="T181" s="52"/>
      <c r="U181" s="52"/>
      <c r="V181" s="52"/>
    </row>
    <row r="182" spans="1:22" s="49" customFormat="1">
      <c r="A182" s="781">
        <v>56</v>
      </c>
      <c r="B182" s="723" t="s">
        <v>716</v>
      </c>
      <c r="C182" s="723"/>
      <c r="D182" s="723" t="s">
        <v>717</v>
      </c>
      <c r="E182" s="494"/>
      <c r="F182" s="494"/>
      <c r="G182" s="494"/>
      <c r="H182" s="779">
        <v>2</v>
      </c>
      <c r="I182" s="779">
        <v>10</v>
      </c>
      <c r="J182" s="748">
        <f t="shared" si="8"/>
        <v>-0.50024493651285229</v>
      </c>
      <c r="K182" s="563" t="b">
        <v>0</v>
      </c>
      <c r="L182" s="52"/>
      <c r="M182" s="52"/>
      <c r="N182" s="52"/>
      <c r="O182" s="52"/>
      <c r="P182" s="52"/>
      <c r="Q182" s="52"/>
      <c r="R182" s="52"/>
      <c r="S182" s="52"/>
      <c r="T182" s="52"/>
      <c r="U182" s="52"/>
      <c r="V182" s="52"/>
    </row>
    <row r="183" spans="1:22" s="49" customFormat="1">
      <c r="A183" s="781">
        <v>57</v>
      </c>
      <c r="B183" s="723" t="s">
        <v>718</v>
      </c>
      <c r="C183" s="723"/>
      <c r="D183" s="494"/>
      <c r="E183" s="494"/>
      <c r="F183" s="494"/>
      <c r="G183" s="494"/>
      <c r="H183" s="779">
        <v>2</v>
      </c>
      <c r="I183" s="779">
        <v>10</v>
      </c>
      <c r="J183" s="748">
        <f t="shared" si="8"/>
        <v>-0.50024493651285229</v>
      </c>
      <c r="K183" s="563" t="b">
        <v>0</v>
      </c>
      <c r="L183" s="52"/>
      <c r="M183" s="52"/>
      <c r="N183" s="52"/>
      <c r="O183" s="52"/>
      <c r="P183" s="52"/>
      <c r="Q183" s="52"/>
      <c r="R183" s="52"/>
      <c r="S183" s="52"/>
      <c r="T183" s="52"/>
      <c r="U183" s="52"/>
      <c r="V183" s="52"/>
    </row>
    <row r="184" spans="1:22" s="49" customFormat="1">
      <c r="A184" s="781">
        <v>58</v>
      </c>
      <c r="B184" s="723" t="s">
        <v>719</v>
      </c>
      <c r="C184" s="723"/>
      <c r="D184" s="494"/>
      <c r="E184" s="494"/>
      <c r="F184" s="494"/>
      <c r="G184" s="494"/>
      <c r="H184" s="779">
        <v>2</v>
      </c>
      <c r="I184" s="779">
        <v>10</v>
      </c>
      <c r="J184" s="748">
        <f t="shared" si="8"/>
        <v>-0.50024493651285229</v>
      </c>
      <c r="K184" s="563" t="b">
        <v>0</v>
      </c>
      <c r="L184" s="52"/>
      <c r="M184" s="52"/>
      <c r="N184" s="52"/>
      <c r="O184" s="52"/>
      <c r="P184" s="52"/>
      <c r="Q184" s="52"/>
      <c r="R184" s="52"/>
      <c r="S184" s="52"/>
      <c r="T184" s="52"/>
      <c r="U184" s="52"/>
      <c r="V184" s="52"/>
    </row>
    <row r="185" spans="1:22" s="52" customFormat="1">
      <c r="A185" s="781">
        <v>59</v>
      </c>
      <c r="B185" s="723" t="s">
        <v>720</v>
      </c>
      <c r="C185" s="723"/>
      <c r="D185" s="723" t="s">
        <v>721</v>
      </c>
      <c r="E185" s="494"/>
      <c r="F185" s="494"/>
      <c r="G185" s="494"/>
      <c r="H185" s="779">
        <v>2.5</v>
      </c>
      <c r="I185" s="779">
        <v>10</v>
      </c>
      <c r="J185" s="748">
        <f t="shared" si="8"/>
        <v>-0.50024493651285229</v>
      </c>
      <c r="K185" s="563" t="b">
        <v>0</v>
      </c>
    </row>
    <row r="186" spans="1:22" s="52" customFormat="1">
      <c r="A186" s="781">
        <v>60</v>
      </c>
      <c r="B186" s="723" t="s">
        <v>722</v>
      </c>
      <c r="C186" s="723"/>
      <c r="D186" s="494"/>
      <c r="E186" s="494"/>
      <c r="F186" s="494"/>
      <c r="G186" s="494"/>
      <c r="H186" s="779">
        <v>4</v>
      </c>
      <c r="I186" s="779">
        <v>10</v>
      </c>
      <c r="J186" s="748">
        <f t="shared" si="8"/>
        <v>-0.50024493651285229</v>
      </c>
      <c r="K186" s="563" t="b">
        <v>0</v>
      </c>
    </row>
    <row r="187" spans="1:22" s="52" customFormat="1">
      <c r="A187" s="781">
        <v>61</v>
      </c>
      <c r="B187" s="723" t="s">
        <v>723</v>
      </c>
      <c r="C187" s="723"/>
      <c r="D187" s="494"/>
      <c r="E187" s="494"/>
      <c r="F187" s="494"/>
      <c r="G187" s="494"/>
      <c r="H187" s="779">
        <v>4.4000000000000004</v>
      </c>
      <c r="I187" s="779">
        <v>0</v>
      </c>
      <c r="J187" s="748">
        <f t="shared" si="8"/>
        <v>0.5091</v>
      </c>
      <c r="K187" s="563" t="b">
        <v>0</v>
      </c>
    </row>
    <row r="188" spans="1:22" s="52" customFormat="1">
      <c r="A188" s="781">
        <v>62</v>
      </c>
      <c r="B188" s="723" t="s">
        <v>973</v>
      </c>
      <c r="C188" s="723"/>
      <c r="D188" s="723" t="s">
        <v>724</v>
      </c>
      <c r="E188" s="494"/>
      <c r="F188" s="494"/>
      <c r="G188" s="494"/>
      <c r="H188" s="779">
        <v>2</v>
      </c>
      <c r="I188" s="779">
        <v>10</v>
      </c>
      <c r="J188" s="748">
        <f t="shared" si="8"/>
        <v>-0.50024493651285229</v>
      </c>
      <c r="K188" s="563" t="b">
        <v>1</v>
      </c>
      <c r="L188" s="52" t="s">
        <v>333</v>
      </c>
    </row>
    <row r="189" spans="1:22" s="52" customFormat="1">
      <c r="A189" s="781">
        <v>63</v>
      </c>
      <c r="B189" s="723" t="s">
        <v>299</v>
      </c>
      <c r="C189" s="723"/>
      <c r="D189" s="723" t="s">
        <v>307</v>
      </c>
      <c r="E189" s="494"/>
      <c r="F189" s="494"/>
      <c r="G189" s="494"/>
      <c r="H189" s="779">
        <v>1.5</v>
      </c>
      <c r="I189" s="779">
        <v>6.2</v>
      </c>
      <c r="J189" s="748">
        <f t="shared" si="8"/>
        <v>-0.42024643979917231</v>
      </c>
      <c r="K189" s="563" t="b">
        <v>1</v>
      </c>
      <c r="L189" s="52" t="s">
        <v>324</v>
      </c>
    </row>
    <row r="190" spans="1:22" s="52" customFormat="1">
      <c r="A190" s="781">
        <v>64</v>
      </c>
      <c r="B190" s="723" t="s">
        <v>725</v>
      </c>
      <c r="C190" s="723"/>
      <c r="D190" s="723" t="s">
        <v>726</v>
      </c>
      <c r="E190" s="494"/>
      <c r="F190" s="494"/>
      <c r="G190" s="494"/>
      <c r="H190" s="779">
        <v>4.4000000000000004</v>
      </c>
      <c r="I190" s="779">
        <v>10</v>
      </c>
      <c r="J190" s="748">
        <f t="shared" si="8"/>
        <v>-0.50024493651285229</v>
      </c>
      <c r="K190" s="563" t="b">
        <v>0</v>
      </c>
    </row>
    <row r="191" spans="1:22" s="52" customFormat="1">
      <c r="A191" s="781">
        <v>65</v>
      </c>
      <c r="B191" s="723" t="s">
        <v>727</v>
      </c>
      <c r="C191" s="723"/>
      <c r="D191" s="494"/>
      <c r="E191" s="494"/>
      <c r="F191" s="494"/>
      <c r="G191" s="494"/>
      <c r="H191" s="779">
        <v>3</v>
      </c>
      <c r="I191" s="779">
        <v>10</v>
      </c>
      <c r="J191" s="748">
        <f t="shared" si="8"/>
        <v>-0.50024493651285229</v>
      </c>
      <c r="K191" s="563" t="b">
        <v>0</v>
      </c>
    </row>
    <row r="192" spans="1:22" s="52" customFormat="1">
      <c r="A192" s="781">
        <v>66</v>
      </c>
      <c r="B192" s="723" t="s">
        <v>728</v>
      </c>
      <c r="C192" s="723"/>
      <c r="D192" s="723" t="s">
        <v>729</v>
      </c>
      <c r="E192" s="494"/>
      <c r="F192" s="494"/>
      <c r="G192" s="494"/>
      <c r="H192" s="779">
        <v>1.6</v>
      </c>
      <c r="I192" s="779">
        <v>10</v>
      </c>
      <c r="J192" s="748">
        <f t="shared" ref="J192:J234" si="9">(0.5091-161.58*I192)/(1+484.2*I192-16.14*POWER(I192,2))</f>
        <v>-0.50024493651285229</v>
      </c>
      <c r="K192" s="563" t="b">
        <v>0</v>
      </c>
      <c r="L192" s="52" t="s">
        <v>334</v>
      </c>
    </row>
    <row r="193" spans="1:16" s="52" customFormat="1">
      <c r="A193" s="781">
        <v>67</v>
      </c>
      <c r="B193" s="723" t="s">
        <v>736</v>
      </c>
      <c r="C193" s="723"/>
      <c r="D193" s="723" t="s">
        <v>737</v>
      </c>
      <c r="E193" s="494"/>
      <c r="F193" s="494"/>
      <c r="G193" s="494"/>
      <c r="H193" s="779">
        <v>3.2</v>
      </c>
      <c r="I193" s="779">
        <v>29</v>
      </c>
      <c r="J193" s="748">
        <f t="shared" si="9"/>
        <v>-9.9887240438323577</v>
      </c>
      <c r="K193" s="563" t="b">
        <v>1</v>
      </c>
    </row>
    <row r="194" spans="1:16" s="52" customFormat="1">
      <c r="A194" s="781">
        <v>68</v>
      </c>
      <c r="B194" s="723" t="s">
        <v>743</v>
      </c>
      <c r="C194" s="723"/>
      <c r="D194" s="723" t="s">
        <v>744</v>
      </c>
      <c r="E194" s="494"/>
      <c r="F194" s="494"/>
      <c r="G194" s="494"/>
      <c r="H194" s="779">
        <v>1.6</v>
      </c>
      <c r="I194" s="779">
        <v>10</v>
      </c>
      <c r="J194" s="748">
        <f t="shared" si="9"/>
        <v>-0.50024493651285229</v>
      </c>
      <c r="K194" s="563" t="b">
        <v>0</v>
      </c>
    </row>
    <row r="195" spans="1:16" s="52" customFormat="1">
      <c r="A195" s="781">
        <v>69</v>
      </c>
      <c r="B195" s="723" t="s">
        <v>730</v>
      </c>
      <c r="C195" s="723"/>
      <c r="D195" s="723" t="s">
        <v>731</v>
      </c>
      <c r="E195" s="494"/>
      <c r="F195" s="494"/>
      <c r="G195" s="494"/>
      <c r="H195" s="779">
        <v>2</v>
      </c>
      <c r="I195" s="779">
        <v>10</v>
      </c>
      <c r="J195" s="748">
        <f t="shared" si="9"/>
        <v>-0.50024493651285229</v>
      </c>
      <c r="K195" s="563" t="b">
        <v>0</v>
      </c>
    </row>
    <row r="196" spans="1:16" s="52" customFormat="1">
      <c r="A196" s="781">
        <v>70</v>
      </c>
      <c r="B196" s="723" t="s">
        <v>740</v>
      </c>
      <c r="C196" s="723"/>
      <c r="D196" s="723" t="s">
        <v>741</v>
      </c>
      <c r="E196" s="494"/>
      <c r="F196" s="494"/>
      <c r="G196" s="494"/>
      <c r="H196" s="779">
        <v>2.5</v>
      </c>
      <c r="I196" s="779">
        <v>10</v>
      </c>
      <c r="J196" s="748">
        <f t="shared" si="9"/>
        <v>-0.50024493651285229</v>
      </c>
      <c r="K196" s="563" t="b">
        <v>0</v>
      </c>
      <c r="L196" s="52" t="s">
        <v>336</v>
      </c>
    </row>
    <row r="197" spans="1:16" s="52" customFormat="1">
      <c r="A197" s="781">
        <v>71</v>
      </c>
      <c r="B197" s="723" t="s">
        <v>734</v>
      </c>
      <c r="C197" s="723"/>
      <c r="D197" s="723" t="s">
        <v>735</v>
      </c>
      <c r="E197" s="494"/>
      <c r="F197" s="494"/>
      <c r="G197" s="494"/>
      <c r="H197" s="779">
        <v>4.4000000000000004</v>
      </c>
      <c r="I197" s="779">
        <v>10</v>
      </c>
      <c r="J197" s="748">
        <f t="shared" si="9"/>
        <v>-0.50024493651285229</v>
      </c>
      <c r="K197" s="563" t="b">
        <v>0</v>
      </c>
    </row>
    <row r="198" spans="1:16" s="52" customFormat="1">
      <c r="A198" s="781">
        <v>72</v>
      </c>
      <c r="B198" s="723" t="s">
        <v>733</v>
      </c>
      <c r="C198" s="723"/>
      <c r="D198" s="494"/>
      <c r="E198" s="494"/>
      <c r="F198" s="494"/>
      <c r="G198" s="494"/>
      <c r="H198" s="779">
        <v>1.6</v>
      </c>
      <c r="I198" s="779">
        <v>10</v>
      </c>
      <c r="J198" s="748">
        <f t="shared" si="9"/>
        <v>-0.50024493651285229</v>
      </c>
      <c r="K198" s="563" t="b">
        <v>0</v>
      </c>
      <c r="L198" s="52" t="s">
        <v>335</v>
      </c>
    </row>
    <row r="199" spans="1:16" s="52" customFormat="1">
      <c r="A199" s="781">
        <v>73</v>
      </c>
      <c r="B199" s="723" t="s">
        <v>742</v>
      </c>
      <c r="C199" s="723"/>
      <c r="D199" s="494"/>
      <c r="E199" s="494"/>
      <c r="F199" s="494"/>
      <c r="G199" s="494"/>
      <c r="H199" s="779">
        <v>4</v>
      </c>
      <c r="I199" s="779">
        <v>0</v>
      </c>
      <c r="J199" s="748">
        <f t="shared" si="9"/>
        <v>0.5091</v>
      </c>
      <c r="K199" s="563" t="b">
        <v>0</v>
      </c>
    </row>
    <row r="200" spans="1:16" s="52" customFormat="1">
      <c r="A200" s="781">
        <v>74</v>
      </c>
      <c r="B200" s="723" t="s">
        <v>738</v>
      </c>
      <c r="C200" s="723"/>
      <c r="D200" s="723" t="s">
        <v>739</v>
      </c>
      <c r="E200" s="494"/>
      <c r="F200" s="494"/>
      <c r="G200" s="494"/>
      <c r="H200" s="779">
        <v>1.7</v>
      </c>
      <c r="I200" s="779">
        <v>12</v>
      </c>
      <c r="J200" s="748">
        <f t="shared" si="9"/>
        <v>-0.555869656232436</v>
      </c>
      <c r="K200" s="563" t="b">
        <v>1</v>
      </c>
      <c r="L200" s="52" t="s">
        <v>324</v>
      </c>
    </row>
    <row r="201" spans="1:16" s="52" customFormat="1">
      <c r="A201" s="781">
        <v>75</v>
      </c>
      <c r="B201" s="723" t="s">
        <v>747</v>
      </c>
      <c r="C201" s="723"/>
      <c r="D201" s="723" t="s">
        <v>748</v>
      </c>
      <c r="E201" s="494"/>
      <c r="F201" s="494"/>
      <c r="G201" s="494"/>
      <c r="H201" s="779">
        <v>1.6</v>
      </c>
      <c r="I201" s="779">
        <v>10</v>
      </c>
      <c r="J201" s="748">
        <f t="shared" si="9"/>
        <v>-0.50024493651285229</v>
      </c>
      <c r="K201" s="563" t="b">
        <v>0</v>
      </c>
    </row>
    <row r="202" spans="1:16" s="52" customFormat="1">
      <c r="A202" s="781">
        <v>76</v>
      </c>
      <c r="B202" s="723" t="s">
        <v>745</v>
      </c>
      <c r="C202" s="723"/>
      <c r="D202" s="723" t="s">
        <v>746</v>
      </c>
      <c r="E202" s="494"/>
      <c r="F202" s="494"/>
      <c r="G202" s="494"/>
      <c r="H202" s="779">
        <v>3</v>
      </c>
      <c r="I202" s="779">
        <v>12</v>
      </c>
      <c r="J202" s="748">
        <f t="shared" si="9"/>
        <v>-0.555869656232436</v>
      </c>
      <c r="K202" s="563" t="b">
        <v>1</v>
      </c>
      <c r="L202" s="52" t="s">
        <v>343</v>
      </c>
    </row>
    <row r="203" spans="1:16" s="52" customFormat="1">
      <c r="A203" s="781">
        <v>77</v>
      </c>
      <c r="B203" s="723" t="s">
        <v>348</v>
      </c>
      <c r="C203" s="723"/>
      <c r="D203" s="723" t="s">
        <v>749</v>
      </c>
      <c r="E203" s="494"/>
      <c r="F203" s="494"/>
      <c r="G203" s="494"/>
      <c r="H203" s="779">
        <v>5.6</v>
      </c>
      <c r="I203" s="779">
        <v>7.6</v>
      </c>
      <c r="J203" s="748">
        <f t="shared" si="9"/>
        <v>-0.44657863341795118</v>
      </c>
      <c r="K203" s="563" t="b">
        <v>1</v>
      </c>
      <c r="L203" s="52" t="s">
        <v>324</v>
      </c>
    </row>
    <row r="204" spans="1:16" s="52" customFormat="1">
      <c r="A204" s="781">
        <v>78</v>
      </c>
      <c r="B204" s="723" t="s">
        <v>1027</v>
      </c>
      <c r="C204" s="723"/>
      <c r="D204" s="494"/>
      <c r="E204" s="494"/>
      <c r="F204" s="494"/>
      <c r="G204" s="494"/>
      <c r="H204" s="779">
        <v>4.4000000000000004</v>
      </c>
      <c r="I204" s="779">
        <v>10</v>
      </c>
      <c r="J204" s="748">
        <f t="shared" si="9"/>
        <v>-0.50024493651285229</v>
      </c>
      <c r="K204" s="563" t="b">
        <v>0</v>
      </c>
    </row>
    <row r="205" spans="1:16" s="52" customFormat="1">
      <c r="A205" s="781">
        <v>79</v>
      </c>
      <c r="B205" s="723" t="s">
        <v>752</v>
      </c>
      <c r="C205" s="723"/>
      <c r="D205" s="494"/>
      <c r="E205" s="494"/>
      <c r="F205" s="494"/>
      <c r="G205" s="494"/>
      <c r="H205" s="779">
        <v>2</v>
      </c>
      <c r="I205" s="779">
        <v>10</v>
      </c>
      <c r="J205" s="748">
        <f t="shared" si="9"/>
        <v>-0.50024493651285229</v>
      </c>
      <c r="K205" s="563" t="b">
        <v>0</v>
      </c>
    </row>
    <row r="206" spans="1:16" s="52" customFormat="1">
      <c r="A206" s="781">
        <v>80</v>
      </c>
      <c r="B206" s="723" t="s">
        <v>754</v>
      </c>
      <c r="C206" s="723"/>
      <c r="D206" s="494"/>
      <c r="E206" s="494"/>
      <c r="F206" s="494"/>
      <c r="G206" s="494"/>
      <c r="H206" s="779">
        <v>2</v>
      </c>
      <c r="I206" s="779">
        <v>10</v>
      </c>
      <c r="J206" s="748">
        <f t="shared" si="9"/>
        <v>-0.50024493651285229</v>
      </c>
      <c r="K206" s="563" t="b">
        <v>0</v>
      </c>
    </row>
    <row r="207" spans="1:16" s="52" customFormat="1" ht="12.5">
      <c r="A207" s="781">
        <v>81</v>
      </c>
      <c r="B207" s="723" t="s">
        <v>753</v>
      </c>
      <c r="C207" s="723"/>
      <c r="D207" s="494"/>
      <c r="E207" s="494"/>
      <c r="F207" s="494"/>
      <c r="G207" s="494"/>
      <c r="H207" s="779">
        <v>4</v>
      </c>
      <c r="I207" s="779">
        <v>10</v>
      </c>
      <c r="J207" s="748">
        <f t="shared" si="9"/>
        <v>-0.50024493651285229</v>
      </c>
      <c r="K207" s="563" t="b">
        <v>1</v>
      </c>
      <c r="P207" s="651"/>
    </row>
    <row r="208" spans="1:16" s="52" customFormat="1" ht="11.5" customHeight="1">
      <c r="A208" s="781">
        <v>82</v>
      </c>
      <c r="B208" s="723" t="s">
        <v>308</v>
      </c>
      <c r="C208" s="723"/>
      <c r="D208" s="723" t="s">
        <v>309</v>
      </c>
      <c r="E208" s="494"/>
      <c r="F208" s="494"/>
      <c r="G208" s="494"/>
      <c r="H208" s="779">
        <v>5</v>
      </c>
      <c r="I208" s="779">
        <v>8.1325000000000003</v>
      </c>
      <c r="J208" s="748">
        <f t="shared" si="9"/>
        <v>-0.45747289498786825</v>
      </c>
      <c r="K208" s="563"/>
      <c r="L208" s="651" t="s">
        <v>315</v>
      </c>
      <c r="M208" s="651"/>
      <c r="O208" s="651"/>
    </row>
    <row r="209" spans="1:12" s="52" customFormat="1">
      <c r="A209" s="781">
        <v>83</v>
      </c>
      <c r="B209" s="723" t="s">
        <v>755</v>
      </c>
      <c r="C209" s="723"/>
      <c r="D209" s="723" t="s">
        <v>756</v>
      </c>
      <c r="E209" s="494"/>
      <c r="F209" s="494"/>
      <c r="G209" s="494"/>
      <c r="H209" s="779">
        <v>6</v>
      </c>
      <c r="I209" s="779">
        <v>10</v>
      </c>
      <c r="J209" s="748">
        <f t="shared" si="9"/>
        <v>-0.50024493651285229</v>
      </c>
      <c r="K209" s="563" t="b">
        <v>1</v>
      </c>
    </row>
    <row r="210" spans="1:12" s="52" customFormat="1">
      <c r="A210" s="781">
        <v>84</v>
      </c>
      <c r="B210" s="723" t="s">
        <v>1037</v>
      </c>
      <c r="C210" s="723"/>
      <c r="D210" s="723" t="s">
        <v>757</v>
      </c>
      <c r="E210" s="494"/>
      <c r="F210" s="494"/>
      <c r="G210" s="494"/>
      <c r="H210" s="779">
        <v>5</v>
      </c>
      <c r="I210" s="779">
        <v>20</v>
      </c>
      <c r="J210" s="748">
        <f t="shared" si="9"/>
        <v>-1.000647537937442</v>
      </c>
      <c r="K210" s="563" t="b">
        <v>1</v>
      </c>
      <c r="L210" s="52" t="s">
        <v>324</v>
      </c>
    </row>
    <row r="211" spans="1:12" s="52" customFormat="1">
      <c r="A211" s="781">
        <v>85</v>
      </c>
      <c r="B211" s="723" t="s">
        <v>758</v>
      </c>
      <c r="C211" s="723"/>
      <c r="D211" s="494"/>
      <c r="E211" s="494"/>
      <c r="F211" s="494"/>
      <c r="G211" s="494"/>
      <c r="H211" s="779">
        <v>2</v>
      </c>
      <c r="I211" s="779">
        <v>10</v>
      </c>
      <c r="J211" s="748">
        <f t="shared" si="9"/>
        <v>-0.50024493651285229</v>
      </c>
      <c r="K211" s="563" t="b">
        <v>0</v>
      </c>
    </row>
    <row r="212" spans="1:12" s="52" customFormat="1">
      <c r="A212" s="781">
        <v>86</v>
      </c>
      <c r="B212" s="723" t="s">
        <v>759</v>
      </c>
      <c r="C212" s="723"/>
      <c r="D212" s="494"/>
      <c r="E212" s="494"/>
      <c r="F212" s="494"/>
      <c r="G212" s="494"/>
      <c r="H212" s="779">
        <v>2.5</v>
      </c>
      <c r="I212" s="779">
        <v>0</v>
      </c>
      <c r="J212" s="748">
        <f t="shared" si="9"/>
        <v>0.5091</v>
      </c>
      <c r="K212" s="563" t="b">
        <v>0</v>
      </c>
      <c r="L212" s="52" t="s">
        <v>340</v>
      </c>
    </row>
    <row r="213" spans="1:12" s="52" customFormat="1">
      <c r="A213" s="781">
        <v>87</v>
      </c>
      <c r="B213" s="723" t="s">
        <v>591</v>
      </c>
      <c r="C213" s="723"/>
      <c r="D213" s="723" t="s">
        <v>592</v>
      </c>
      <c r="E213" s="494"/>
      <c r="F213" s="494"/>
      <c r="G213" s="494"/>
      <c r="H213" s="779">
        <v>6</v>
      </c>
      <c r="I213" s="779">
        <v>7.1</v>
      </c>
      <c r="J213" s="748">
        <f t="shared" si="9"/>
        <v>-0.43680777247439884</v>
      </c>
      <c r="K213" s="563" t="b">
        <v>1</v>
      </c>
    </row>
    <row r="214" spans="1:12" s="52" customFormat="1">
      <c r="A214" s="781">
        <v>88</v>
      </c>
      <c r="B214" s="723" t="s">
        <v>761</v>
      </c>
      <c r="C214" s="723"/>
      <c r="D214" s="723" t="s">
        <v>586</v>
      </c>
      <c r="E214" s="494"/>
      <c r="F214" s="494"/>
      <c r="G214" s="494"/>
      <c r="H214" s="779">
        <v>1.6</v>
      </c>
      <c r="I214" s="779">
        <v>10</v>
      </c>
      <c r="J214" s="748">
        <f t="shared" si="9"/>
        <v>-0.50024493651285229</v>
      </c>
      <c r="K214" s="563" t="b">
        <v>0</v>
      </c>
      <c r="L214" s="52" t="s">
        <v>337</v>
      </c>
    </row>
    <row r="215" spans="1:12" s="52" customFormat="1">
      <c r="A215" s="781">
        <v>89</v>
      </c>
      <c r="B215" s="723" t="s">
        <v>760</v>
      </c>
      <c r="C215" s="723"/>
      <c r="D215" s="494"/>
      <c r="E215" s="494"/>
      <c r="F215" s="494"/>
      <c r="G215" s="494"/>
      <c r="H215" s="779">
        <v>3</v>
      </c>
      <c r="I215" s="779">
        <v>10</v>
      </c>
      <c r="J215" s="748">
        <f t="shared" si="9"/>
        <v>-0.50024493651285229</v>
      </c>
      <c r="K215" s="563" t="b">
        <v>0</v>
      </c>
    </row>
    <row r="216" spans="1:12" s="52" customFormat="1">
      <c r="A216" s="781">
        <v>90</v>
      </c>
      <c r="B216" s="723" t="s">
        <v>750</v>
      </c>
      <c r="C216" s="723"/>
      <c r="D216" s="723" t="s">
        <v>751</v>
      </c>
      <c r="E216" s="494"/>
      <c r="F216" s="494"/>
      <c r="G216" s="494"/>
      <c r="H216" s="779">
        <v>7</v>
      </c>
      <c r="I216" s="779">
        <v>5.9</v>
      </c>
      <c r="J216" s="748">
        <f t="shared" si="9"/>
        <v>-0.41499784881756396</v>
      </c>
      <c r="K216" s="563" t="b">
        <v>1</v>
      </c>
    </row>
    <row r="217" spans="1:12" s="52" customFormat="1">
      <c r="A217" s="781">
        <v>91</v>
      </c>
      <c r="B217" s="723" t="s">
        <v>345</v>
      </c>
      <c r="C217" s="723"/>
      <c r="D217" s="723"/>
      <c r="E217" s="494"/>
      <c r="F217" s="494"/>
      <c r="G217" s="494"/>
      <c r="H217" s="779">
        <v>7</v>
      </c>
      <c r="I217" s="779">
        <v>5.9</v>
      </c>
      <c r="J217" s="748">
        <f t="shared" si="9"/>
        <v>-0.41499784881756396</v>
      </c>
      <c r="K217" s="627" t="s">
        <v>346</v>
      </c>
      <c r="L217" s="52" t="s">
        <v>324</v>
      </c>
    </row>
    <row r="218" spans="1:12" s="52" customFormat="1">
      <c r="A218" s="781">
        <v>92</v>
      </c>
      <c r="B218" s="723" t="s">
        <v>587</v>
      </c>
      <c r="C218" s="723"/>
      <c r="D218" s="723" t="s">
        <v>588</v>
      </c>
      <c r="E218" s="494"/>
      <c r="F218" s="494"/>
      <c r="G218" s="494"/>
      <c r="H218" s="779">
        <v>2.5</v>
      </c>
      <c r="I218" s="779">
        <v>10</v>
      </c>
      <c r="J218" s="748">
        <f t="shared" si="9"/>
        <v>-0.50024493651285229</v>
      </c>
      <c r="K218" s="563" t="b">
        <v>0</v>
      </c>
    </row>
    <row r="219" spans="1:12" s="52" customFormat="1">
      <c r="A219" s="781">
        <v>93</v>
      </c>
      <c r="B219" s="723" t="s">
        <v>589</v>
      </c>
      <c r="C219" s="723"/>
      <c r="D219" s="723" t="s">
        <v>590</v>
      </c>
      <c r="E219" s="494"/>
      <c r="F219" s="494"/>
      <c r="G219" s="494"/>
      <c r="H219" s="779">
        <v>2.5</v>
      </c>
      <c r="I219" s="779">
        <v>10</v>
      </c>
      <c r="J219" s="748">
        <f t="shared" si="9"/>
        <v>-0.50024493651285229</v>
      </c>
      <c r="K219" s="563" t="b">
        <v>0</v>
      </c>
    </row>
    <row r="220" spans="1:12" s="52" customFormat="1">
      <c r="A220" s="781">
        <v>94</v>
      </c>
      <c r="B220" s="723" t="s">
        <v>593</v>
      </c>
      <c r="C220" s="723"/>
      <c r="D220" s="723" t="s">
        <v>594</v>
      </c>
      <c r="E220" s="494"/>
      <c r="F220" s="494"/>
      <c r="G220" s="494"/>
      <c r="H220" s="779">
        <v>2.5</v>
      </c>
      <c r="I220" s="779">
        <v>10</v>
      </c>
      <c r="J220" s="748">
        <f t="shared" si="9"/>
        <v>-0.50024493651285229</v>
      </c>
      <c r="K220" s="563" t="b">
        <v>1</v>
      </c>
      <c r="L220" s="52" t="s">
        <v>338</v>
      </c>
    </row>
    <row r="221" spans="1:12" s="52" customFormat="1">
      <c r="A221" s="781">
        <v>95</v>
      </c>
      <c r="B221" s="723" t="s">
        <v>298</v>
      </c>
      <c r="C221" s="723"/>
      <c r="D221" s="494" t="s">
        <v>305</v>
      </c>
      <c r="E221" s="494"/>
      <c r="F221" s="494"/>
      <c r="G221" s="494"/>
      <c r="H221" s="779">
        <v>2</v>
      </c>
      <c r="I221" s="779"/>
      <c r="J221" s="748">
        <f t="shared" si="9"/>
        <v>0.5091</v>
      </c>
      <c r="K221" s="563"/>
      <c r="L221" s="652" t="s">
        <v>319</v>
      </c>
    </row>
    <row r="222" spans="1:12" s="52" customFormat="1">
      <c r="A222" s="781">
        <v>96</v>
      </c>
      <c r="B222" s="723" t="s">
        <v>596</v>
      </c>
      <c r="C222" s="723"/>
      <c r="D222" s="723" t="s">
        <v>597</v>
      </c>
      <c r="E222" s="494"/>
      <c r="F222" s="494"/>
      <c r="G222" s="494"/>
      <c r="H222" s="779">
        <v>2</v>
      </c>
      <c r="I222" s="779">
        <v>10</v>
      </c>
      <c r="J222" s="748">
        <f t="shared" si="9"/>
        <v>-0.50024493651285229</v>
      </c>
      <c r="K222" s="563" t="b">
        <v>0</v>
      </c>
    </row>
    <row r="223" spans="1:12" s="52" customFormat="1">
      <c r="A223" s="781">
        <v>97</v>
      </c>
      <c r="B223" s="723" t="s">
        <v>1038</v>
      </c>
      <c r="C223" s="723"/>
      <c r="D223" s="723" t="s">
        <v>598</v>
      </c>
      <c r="E223" s="494"/>
      <c r="F223" s="494"/>
      <c r="G223" s="494"/>
      <c r="H223" s="779">
        <v>2.5</v>
      </c>
      <c r="I223" s="779">
        <v>9.9</v>
      </c>
      <c r="J223" s="748">
        <f t="shared" si="9"/>
        <v>-0.49775378866850456</v>
      </c>
      <c r="K223" s="563" t="b">
        <v>1</v>
      </c>
      <c r="L223" s="52" t="s">
        <v>324</v>
      </c>
    </row>
    <row r="224" spans="1:12" s="52" customFormat="1">
      <c r="A224" s="781">
        <v>98</v>
      </c>
      <c r="B224" s="723" t="s">
        <v>600</v>
      </c>
      <c r="C224" s="723"/>
      <c r="D224" s="494"/>
      <c r="E224" s="494"/>
      <c r="F224" s="494"/>
      <c r="G224" s="494"/>
      <c r="H224" s="779">
        <v>7.1</v>
      </c>
      <c r="I224" s="779">
        <v>0</v>
      </c>
      <c r="J224" s="748">
        <f t="shared" si="9"/>
        <v>0.5091</v>
      </c>
      <c r="K224" s="563" t="b">
        <v>0</v>
      </c>
    </row>
    <row r="225" spans="1:12" s="52" customFormat="1">
      <c r="A225" s="781">
        <v>99</v>
      </c>
      <c r="B225" s="723" t="s">
        <v>595</v>
      </c>
      <c r="C225" s="723"/>
      <c r="D225" s="494"/>
      <c r="E225" s="494"/>
      <c r="F225" s="494"/>
      <c r="G225" s="494"/>
      <c r="H225" s="779">
        <v>4</v>
      </c>
      <c r="I225" s="779">
        <v>10</v>
      </c>
      <c r="J225" s="748">
        <f t="shared" si="9"/>
        <v>-0.50024493651285229</v>
      </c>
      <c r="K225" s="563" t="b">
        <v>0</v>
      </c>
    </row>
    <row r="226" spans="1:12" s="52" customFormat="1">
      <c r="A226" s="781">
        <v>100</v>
      </c>
      <c r="B226" s="723" t="s">
        <v>599</v>
      </c>
      <c r="C226" s="723"/>
      <c r="D226" s="494"/>
      <c r="E226" s="494"/>
      <c r="F226" s="494"/>
      <c r="G226" s="494"/>
      <c r="H226" s="779">
        <v>2</v>
      </c>
      <c r="I226" s="779">
        <v>10</v>
      </c>
      <c r="J226" s="748">
        <f t="shared" si="9"/>
        <v>-0.50024493651285229</v>
      </c>
      <c r="K226" s="563" t="b">
        <v>0</v>
      </c>
    </row>
    <row r="227" spans="1:12" s="52" customFormat="1">
      <c r="A227" s="781">
        <v>101</v>
      </c>
      <c r="B227" s="723" t="s">
        <v>603</v>
      </c>
      <c r="C227" s="723"/>
      <c r="D227" s="494"/>
      <c r="E227" s="494"/>
      <c r="F227" s="494"/>
      <c r="G227" s="494"/>
      <c r="H227" s="779">
        <v>2</v>
      </c>
      <c r="I227" s="779">
        <v>10</v>
      </c>
      <c r="J227" s="748">
        <f t="shared" si="9"/>
        <v>-0.50024493651285229</v>
      </c>
      <c r="K227" s="563" t="b">
        <v>0</v>
      </c>
    </row>
    <row r="228" spans="1:12" s="52" customFormat="1">
      <c r="A228" s="781">
        <v>102</v>
      </c>
      <c r="B228" s="723" t="s">
        <v>601</v>
      </c>
      <c r="C228" s="723"/>
      <c r="D228" s="723" t="s">
        <v>602</v>
      </c>
      <c r="E228" s="494"/>
      <c r="F228" s="494"/>
      <c r="G228" s="494"/>
      <c r="H228" s="779">
        <v>3</v>
      </c>
      <c r="I228" s="779">
        <v>11</v>
      </c>
      <c r="J228" s="748">
        <f t="shared" si="9"/>
        <v>-0.52659572765584162</v>
      </c>
      <c r="K228" s="563" t="b">
        <v>1</v>
      </c>
      <c r="L228" s="52" t="s">
        <v>324</v>
      </c>
    </row>
    <row r="229" spans="1:12" s="52" customFormat="1">
      <c r="A229" s="781">
        <v>103</v>
      </c>
      <c r="B229" s="723" t="s">
        <v>604</v>
      </c>
      <c r="C229" s="723"/>
      <c r="D229" s="723" t="s">
        <v>605</v>
      </c>
      <c r="E229" s="494"/>
      <c r="F229" s="494"/>
      <c r="G229" s="494"/>
      <c r="H229" s="779">
        <v>2</v>
      </c>
      <c r="I229" s="779">
        <v>10</v>
      </c>
      <c r="J229" s="748">
        <f t="shared" si="9"/>
        <v>-0.50024493651285229</v>
      </c>
      <c r="K229" s="563" t="b">
        <v>0</v>
      </c>
    </row>
    <row r="230" spans="1:12" s="52" customFormat="1">
      <c r="A230" s="781">
        <v>104</v>
      </c>
      <c r="B230" s="723" t="s">
        <v>606</v>
      </c>
      <c r="C230" s="723"/>
      <c r="D230" s="723" t="s">
        <v>607</v>
      </c>
      <c r="E230" s="494"/>
      <c r="F230" s="494"/>
      <c r="G230" s="494"/>
      <c r="H230" s="779">
        <v>2.5</v>
      </c>
      <c r="I230" s="779">
        <v>10</v>
      </c>
      <c r="J230" s="748">
        <f t="shared" si="9"/>
        <v>-0.50024493651285229</v>
      </c>
      <c r="K230" s="563" t="b">
        <v>0</v>
      </c>
    </row>
    <row r="231" spans="1:12" s="52" customFormat="1">
      <c r="A231" s="781">
        <v>105</v>
      </c>
      <c r="B231" s="494" t="s">
        <v>347</v>
      </c>
      <c r="C231" s="494"/>
      <c r="D231" s="494"/>
      <c r="E231" s="494"/>
      <c r="F231" s="494"/>
      <c r="G231" s="238"/>
      <c r="H231" s="238">
        <v>5.7</v>
      </c>
      <c r="I231" s="238">
        <v>5.4</v>
      </c>
      <c r="J231" s="748">
        <f t="shared" si="9"/>
        <v>-0.40653035639095564</v>
      </c>
      <c r="K231" s="563" t="b">
        <v>1</v>
      </c>
      <c r="L231" s="52" t="s">
        <v>324</v>
      </c>
    </row>
    <row r="232" spans="1:12" s="52" customFormat="1">
      <c r="A232" s="781">
        <v>106</v>
      </c>
      <c r="B232" s="723" t="s">
        <v>608</v>
      </c>
      <c r="C232" s="723"/>
      <c r="D232" s="494"/>
      <c r="E232" s="494"/>
      <c r="F232" s="494"/>
      <c r="G232" s="494"/>
      <c r="H232" s="779">
        <v>6</v>
      </c>
      <c r="I232" s="779">
        <v>10</v>
      </c>
      <c r="J232" s="748">
        <f t="shared" si="9"/>
        <v>-0.50024493651285229</v>
      </c>
      <c r="K232" s="563" t="b">
        <v>0</v>
      </c>
    </row>
    <row r="233" spans="1:12" s="52" customFormat="1">
      <c r="A233" s="781">
        <v>107</v>
      </c>
      <c r="B233" s="723" t="s">
        <v>609</v>
      </c>
      <c r="C233" s="723"/>
      <c r="D233" s="723" t="s">
        <v>610</v>
      </c>
      <c r="E233" s="494"/>
      <c r="F233" s="494"/>
      <c r="G233" s="494"/>
      <c r="H233" s="779">
        <v>6</v>
      </c>
      <c r="I233" s="779">
        <v>7.1</v>
      </c>
      <c r="J233" s="748">
        <f t="shared" si="9"/>
        <v>-0.43680777247439884</v>
      </c>
      <c r="K233" s="563" t="b">
        <v>1</v>
      </c>
      <c r="L233" s="52" t="s">
        <v>324</v>
      </c>
    </row>
    <row r="234" spans="1:12" s="52" customFormat="1" ht="12" thickBot="1">
      <c r="A234" s="761">
        <v>108</v>
      </c>
      <c r="B234" s="650" t="s">
        <v>270</v>
      </c>
      <c r="C234" s="650"/>
      <c r="D234" s="650"/>
      <c r="E234" s="650"/>
      <c r="F234" s="650"/>
      <c r="G234" s="733"/>
      <c r="H234" s="733">
        <v>8</v>
      </c>
      <c r="I234" s="733">
        <v>5</v>
      </c>
      <c r="J234" s="752">
        <f t="shared" si="9"/>
        <v>-0.3999954917017588</v>
      </c>
      <c r="K234" s="52" t="b">
        <v>0</v>
      </c>
      <c r="L234" s="52" t="s">
        <v>446</v>
      </c>
    </row>
    <row r="235" spans="1:12" s="52" customFormat="1">
      <c r="E235" s="170"/>
      <c r="F235" s="170"/>
    </row>
    <row r="236" spans="1:12" s="52" customFormat="1">
      <c r="E236" s="170"/>
      <c r="F236" s="170"/>
    </row>
    <row r="237" spans="1:12" s="52" customFormat="1">
      <c r="E237" s="170"/>
      <c r="F237" s="170"/>
    </row>
    <row r="238" spans="1:12" s="52" customFormat="1">
      <c r="E238" s="170"/>
      <c r="F238" s="170"/>
    </row>
    <row r="239" spans="1:12" s="52" customFormat="1">
      <c r="E239" s="170"/>
      <c r="F239" s="170"/>
    </row>
    <row r="240" spans="1:12" s="52" customFormat="1">
      <c r="E240" s="170"/>
      <c r="F240" s="170"/>
    </row>
    <row r="241" spans="5:6" s="52" customFormat="1">
      <c r="E241" s="170"/>
      <c r="F241" s="170"/>
    </row>
    <row r="242" spans="5:6" s="52" customFormat="1">
      <c r="E242" s="170"/>
      <c r="F242" s="170"/>
    </row>
    <row r="243" spans="5:6" s="52" customFormat="1">
      <c r="E243" s="170"/>
      <c r="F243" s="170"/>
    </row>
    <row r="244" spans="5:6" s="52" customFormat="1">
      <c r="E244" s="170"/>
      <c r="F244" s="170"/>
    </row>
    <row r="245" spans="5:6" s="52" customFormat="1">
      <c r="E245" s="170"/>
      <c r="F245" s="170"/>
    </row>
    <row r="246" spans="5:6" s="52" customFormat="1">
      <c r="E246" s="170"/>
      <c r="F246" s="170"/>
    </row>
    <row r="247" spans="5:6" s="52" customFormat="1">
      <c r="E247" s="170"/>
      <c r="F247" s="170"/>
    </row>
    <row r="248" spans="5:6" s="52" customFormat="1">
      <c r="E248" s="170"/>
      <c r="F248" s="170"/>
    </row>
    <row r="249" spans="5:6" s="52" customFormat="1">
      <c r="E249" s="170"/>
      <c r="F249" s="170"/>
    </row>
    <row r="250" spans="5:6" s="52" customFormat="1">
      <c r="E250" s="170"/>
      <c r="F250" s="170"/>
    </row>
    <row r="251" spans="5:6" s="52" customFormat="1">
      <c r="E251" s="170"/>
      <c r="F251" s="170"/>
    </row>
    <row r="252" spans="5:6" s="52" customFormat="1">
      <c r="E252" s="170"/>
      <c r="F252" s="170"/>
    </row>
    <row r="253" spans="5:6" s="52" customFormat="1">
      <c r="E253" s="170"/>
      <c r="F253" s="170"/>
    </row>
    <row r="254" spans="5:6" s="52" customFormat="1">
      <c r="E254" s="170"/>
      <c r="F254" s="170"/>
    </row>
    <row r="255" spans="5:6" s="52" customFormat="1">
      <c r="E255" s="170"/>
      <c r="F255" s="170"/>
    </row>
    <row r="256" spans="5:6" s="52" customFormat="1">
      <c r="E256" s="170"/>
      <c r="F256" s="170"/>
    </row>
    <row r="257" spans="5:6" s="52" customFormat="1">
      <c r="E257" s="170"/>
      <c r="F257" s="170"/>
    </row>
    <row r="258" spans="5:6" s="52" customFormat="1">
      <c r="E258" s="170"/>
      <c r="F258" s="170"/>
    </row>
    <row r="259" spans="5:6" s="52" customFormat="1">
      <c r="E259" s="170"/>
      <c r="F259" s="170"/>
    </row>
    <row r="260" spans="5:6" s="52" customFormat="1">
      <c r="E260" s="170"/>
      <c r="F260" s="170"/>
    </row>
    <row r="261" spans="5:6" s="52" customFormat="1">
      <c r="E261" s="170"/>
      <c r="F261" s="170"/>
    </row>
    <row r="262" spans="5:6" s="52" customFormat="1">
      <c r="E262" s="170"/>
      <c r="F262" s="170"/>
    </row>
    <row r="263" spans="5:6" s="52" customFormat="1">
      <c r="E263" s="170"/>
      <c r="F263" s="170"/>
    </row>
    <row r="264" spans="5:6" s="52" customFormat="1">
      <c r="E264" s="170"/>
      <c r="F264" s="170"/>
    </row>
    <row r="265" spans="5:6" s="52" customFormat="1">
      <c r="E265" s="170"/>
      <c r="F265" s="170"/>
    </row>
    <row r="266" spans="5:6" s="52" customFormat="1">
      <c r="E266" s="170"/>
      <c r="F266" s="170"/>
    </row>
    <row r="267" spans="5:6" s="52" customFormat="1">
      <c r="E267" s="170"/>
      <c r="F267" s="170"/>
    </row>
    <row r="268" spans="5:6" s="52" customFormat="1">
      <c r="E268" s="170"/>
      <c r="F268" s="170"/>
    </row>
    <row r="269" spans="5:6" s="52" customFormat="1">
      <c r="E269" s="170"/>
      <c r="F269" s="170"/>
    </row>
    <row r="270" spans="5:6" s="52" customFormat="1">
      <c r="E270" s="170"/>
      <c r="F270" s="170"/>
    </row>
    <row r="271" spans="5:6" s="52" customFormat="1">
      <c r="E271" s="170"/>
      <c r="F271" s="170"/>
    </row>
    <row r="272" spans="5:6" s="52" customFormat="1">
      <c r="E272" s="170"/>
      <c r="F272" s="170"/>
    </row>
    <row r="273" spans="5:21" s="52" customFormat="1">
      <c r="E273" s="170"/>
      <c r="F273" s="170"/>
    </row>
    <row r="274" spans="5:21" s="52" customFormat="1">
      <c r="E274" s="170"/>
      <c r="F274" s="170"/>
    </row>
    <row r="275" spans="5:21" s="52" customFormat="1">
      <c r="E275" s="170"/>
      <c r="F275" s="170"/>
    </row>
    <row r="276" spans="5:21" s="52" customFormat="1">
      <c r="E276" s="170"/>
      <c r="F276" s="170"/>
    </row>
    <row r="277" spans="5:21" s="52" customFormat="1">
      <c r="E277" s="170"/>
      <c r="F277" s="170"/>
    </row>
    <row r="278" spans="5:21" s="52" customFormat="1">
      <c r="E278" s="170"/>
      <c r="F278" s="170"/>
    </row>
    <row r="279" spans="5:21" s="52" customFormat="1">
      <c r="E279" s="170"/>
      <c r="F279" s="170"/>
    </row>
    <row r="280" spans="5:21" s="52" customFormat="1">
      <c r="E280" s="170"/>
      <c r="F280" s="170"/>
    </row>
    <row r="281" spans="5:21" s="52" customFormat="1">
      <c r="E281" s="170"/>
      <c r="F281" s="170"/>
    </row>
    <row r="282" spans="5:21" s="52" customFormat="1">
      <c r="E282" s="170"/>
      <c r="F282" s="170"/>
    </row>
    <row r="283" spans="5:21" s="52" customFormat="1">
      <c r="E283" s="170"/>
      <c r="F283" s="170"/>
    </row>
    <row r="284" spans="5:21" s="52" customFormat="1">
      <c r="E284" s="170"/>
      <c r="F284" s="170"/>
    </row>
    <row r="285" spans="5:21" s="52" customFormat="1">
      <c r="E285" s="170"/>
      <c r="F285" s="170"/>
    </row>
    <row r="286" spans="5:21" s="52" customFormat="1">
      <c r="E286" s="170"/>
      <c r="F286" s="170"/>
    </row>
    <row r="287" spans="5:21" s="52" customFormat="1">
      <c r="E287" s="170"/>
      <c r="F287" s="170"/>
      <c r="U287" s="4"/>
    </row>
    <row r="288" spans="5:21" s="52" customFormat="1">
      <c r="E288" s="170"/>
      <c r="F288" s="170"/>
      <c r="U288" s="4"/>
    </row>
    <row r="289" spans="5:26" s="52" customFormat="1">
      <c r="E289" s="170"/>
      <c r="F289" s="170"/>
      <c r="U289" s="4"/>
    </row>
    <row r="290" spans="5:26" s="52" customFormat="1">
      <c r="E290" s="170"/>
      <c r="F290" s="170"/>
      <c r="U290" s="4"/>
      <c r="Z290" s="4"/>
    </row>
    <row r="291" spans="5:26" s="4" customFormat="1">
      <c r="E291" s="134"/>
      <c r="F291" s="134"/>
    </row>
    <row r="292" spans="5:26" s="4" customFormat="1">
      <c r="E292" s="134"/>
      <c r="F292" s="134"/>
    </row>
    <row r="293" spans="5:26" s="4" customFormat="1">
      <c r="E293" s="134"/>
      <c r="F293" s="134"/>
    </row>
    <row r="294" spans="5:26" s="4" customFormat="1">
      <c r="E294" s="134"/>
      <c r="F294" s="134"/>
    </row>
    <row r="295" spans="5:26" s="4" customFormat="1">
      <c r="E295" s="134"/>
      <c r="F295" s="134"/>
    </row>
    <row r="296" spans="5:26" s="4" customFormat="1">
      <c r="E296" s="134"/>
      <c r="F296" s="134"/>
    </row>
    <row r="297" spans="5:26" s="4" customFormat="1">
      <c r="E297" s="134"/>
      <c r="F297" s="134"/>
    </row>
    <row r="298" spans="5:26" s="4" customFormat="1">
      <c r="E298" s="134"/>
      <c r="F298" s="134"/>
    </row>
    <row r="299" spans="5:26" s="4" customFormat="1">
      <c r="E299" s="134"/>
      <c r="F299" s="134"/>
    </row>
    <row r="300" spans="5:26" s="4" customFormat="1">
      <c r="E300" s="134"/>
      <c r="F300" s="134"/>
    </row>
    <row r="301" spans="5:26" s="4" customFormat="1">
      <c r="E301" s="134"/>
      <c r="F301" s="134"/>
    </row>
    <row r="302" spans="5:26" s="4" customFormat="1">
      <c r="E302" s="134"/>
      <c r="F302" s="134"/>
    </row>
    <row r="303" spans="5:26" s="4" customFormat="1">
      <c r="E303" s="134"/>
      <c r="F303" s="134"/>
    </row>
    <row r="304" spans="5:26" s="4" customFormat="1">
      <c r="E304" s="134"/>
      <c r="F304" s="134"/>
    </row>
    <row r="305" spans="5:6" s="4" customFormat="1">
      <c r="E305" s="134"/>
      <c r="F305" s="134"/>
    </row>
    <row r="306" spans="5:6" s="4" customFormat="1">
      <c r="E306" s="134"/>
      <c r="F306" s="134"/>
    </row>
    <row r="307" spans="5:6" s="4" customFormat="1">
      <c r="E307" s="134"/>
      <c r="F307" s="134"/>
    </row>
    <row r="308" spans="5:6" s="4" customFormat="1">
      <c r="E308" s="134"/>
      <c r="F308" s="134"/>
    </row>
    <row r="309" spans="5:6" s="4" customFormat="1">
      <c r="E309" s="134"/>
      <c r="F309" s="134"/>
    </row>
    <row r="310" spans="5:6" s="4" customFormat="1">
      <c r="E310" s="134"/>
      <c r="F310" s="134"/>
    </row>
    <row r="311" spans="5:6" s="4" customFormat="1">
      <c r="E311" s="134"/>
      <c r="F311" s="134"/>
    </row>
    <row r="312" spans="5:6" s="4" customFormat="1">
      <c r="E312" s="134"/>
      <c r="F312" s="134"/>
    </row>
    <row r="313" spans="5:6" s="4" customFormat="1">
      <c r="E313" s="134"/>
      <c r="F313" s="134"/>
    </row>
    <row r="314" spans="5:6" s="4" customFormat="1">
      <c r="E314" s="134"/>
      <c r="F314" s="134"/>
    </row>
    <row r="315" spans="5:6" s="4" customFormat="1">
      <c r="E315" s="134"/>
      <c r="F315" s="134"/>
    </row>
    <row r="316" spans="5:6" s="4" customFormat="1">
      <c r="E316" s="134"/>
      <c r="F316" s="134"/>
    </row>
    <row r="317" spans="5:6" s="4" customFormat="1">
      <c r="E317" s="134"/>
      <c r="F317" s="134"/>
    </row>
    <row r="318" spans="5:6">
      <c r="E318" s="61"/>
      <c r="F318" s="61"/>
    </row>
    <row r="319" spans="5:6">
      <c r="E319" s="61"/>
      <c r="F319" s="61"/>
    </row>
    <row r="320" spans="5:6">
      <c r="E320" s="61"/>
      <c r="F320" s="61"/>
    </row>
    <row r="321" spans="5:6">
      <c r="E321" s="61"/>
      <c r="F321" s="61"/>
    </row>
    <row r="322" spans="5:6">
      <c r="E322" s="61"/>
      <c r="F322" s="61"/>
    </row>
    <row r="323" spans="5:6">
      <c r="E323" s="61"/>
      <c r="F323" s="61"/>
    </row>
    <row r="324" spans="5:6">
      <c r="E324" s="61"/>
      <c r="F324" s="61"/>
    </row>
    <row r="325" spans="5:6">
      <c r="E325" s="61"/>
      <c r="F325" s="61"/>
    </row>
    <row r="326" spans="5:6">
      <c r="E326" s="61"/>
      <c r="F326" s="61"/>
    </row>
    <row r="327" spans="5:6">
      <c r="E327" s="61"/>
      <c r="F327" s="61"/>
    </row>
    <row r="328" spans="5:6">
      <c r="E328" s="61"/>
      <c r="F328" s="61"/>
    </row>
    <row r="329" spans="5:6">
      <c r="E329" s="61"/>
      <c r="F329" s="61"/>
    </row>
    <row r="330" spans="5:6">
      <c r="E330" s="61"/>
      <c r="F330" s="61"/>
    </row>
    <row r="331" spans="5:6">
      <c r="E331" s="61"/>
      <c r="F331" s="61"/>
    </row>
    <row r="332" spans="5:6">
      <c r="E332" s="61"/>
      <c r="F332" s="61"/>
    </row>
    <row r="333" spans="5:6">
      <c r="E333" s="61"/>
      <c r="F333" s="61"/>
    </row>
    <row r="334" spans="5:6">
      <c r="E334" s="61"/>
      <c r="F334" s="61"/>
    </row>
    <row r="335" spans="5:6">
      <c r="E335" s="61"/>
      <c r="F335" s="61"/>
    </row>
    <row r="336" spans="5:6">
      <c r="E336" s="61"/>
      <c r="F336" s="61"/>
    </row>
    <row r="337" spans="5:6">
      <c r="E337" s="61"/>
      <c r="F337" s="61"/>
    </row>
    <row r="338" spans="5:6">
      <c r="E338" s="61"/>
      <c r="F338" s="61"/>
    </row>
    <row r="339" spans="5:6">
      <c r="E339" s="61"/>
      <c r="F339" s="61"/>
    </row>
    <row r="340" spans="5:6">
      <c r="E340" s="61"/>
      <c r="F340" s="61"/>
    </row>
    <row r="341" spans="5:6">
      <c r="E341" s="61"/>
      <c r="F341" s="61"/>
    </row>
    <row r="342" spans="5:6">
      <c r="E342" s="61"/>
      <c r="F342" s="61"/>
    </row>
    <row r="343" spans="5:6">
      <c r="E343" s="61"/>
      <c r="F343" s="61"/>
    </row>
    <row r="344" spans="5:6">
      <c r="E344" s="61"/>
      <c r="F344" s="61"/>
    </row>
    <row r="345" spans="5:6">
      <c r="E345" s="61"/>
      <c r="F345" s="61"/>
    </row>
    <row r="346" spans="5:6">
      <c r="E346" s="61"/>
      <c r="F346" s="61"/>
    </row>
    <row r="347" spans="5:6">
      <c r="E347" s="61"/>
      <c r="F347" s="61"/>
    </row>
    <row r="348" spans="5:6">
      <c r="E348" s="61"/>
      <c r="F348" s="61"/>
    </row>
    <row r="349" spans="5:6">
      <c r="E349" s="61"/>
      <c r="F349" s="61"/>
    </row>
    <row r="350" spans="5:6">
      <c r="E350" s="61"/>
      <c r="F350" s="61"/>
    </row>
    <row r="351" spans="5:6">
      <c r="E351" s="61"/>
      <c r="F351" s="61"/>
    </row>
    <row r="352" spans="5:6">
      <c r="E352" s="61"/>
      <c r="F352" s="61"/>
    </row>
    <row r="353" spans="5:6">
      <c r="E353" s="61"/>
      <c r="F353" s="61"/>
    </row>
    <row r="354" spans="5:6">
      <c r="E354" s="61"/>
      <c r="F354" s="61"/>
    </row>
    <row r="355" spans="5:6">
      <c r="E355" s="61"/>
      <c r="F355" s="61"/>
    </row>
    <row r="356" spans="5:6">
      <c r="E356" s="61"/>
      <c r="F356" s="61"/>
    </row>
    <row r="357" spans="5:6">
      <c r="E357" s="61"/>
      <c r="F357" s="61"/>
    </row>
    <row r="358" spans="5:6">
      <c r="E358" s="61"/>
      <c r="F358" s="61"/>
    </row>
    <row r="359" spans="5:6">
      <c r="E359" s="61"/>
      <c r="F359" s="61"/>
    </row>
    <row r="360" spans="5:6">
      <c r="E360" s="61"/>
      <c r="F360" s="61"/>
    </row>
    <row r="361" spans="5:6">
      <c r="E361" s="61"/>
      <c r="F361" s="61"/>
    </row>
    <row r="362" spans="5:6">
      <c r="E362" s="61"/>
      <c r="F362" s="61"/>
    </row>
    <row r="363" spans="5:6">
      <c r="E363" s="61"/>
      <c r="F363" s="61"/>
    </row>
    <row r="364" spans="5:6">
      <c r="E364" s="61"/>
      <c r="F364" s="61"/>
    </row>
    <row r="365" spans="5:6">
      <c r="E365" s="61"/>
      <c r="F365" s="61"/>
    </row>
    <row r="366" spans="5:6">
      <c r="E366" s="61"/>
      <c r="F366" s="61"/>
    </row>
    <row r="367" spans="5:6">
      <c r="E367" s="61"/>
      <c r="F367" s="61"/>
    </row>
    <row r="368" spans="5:6">
      <c r="E368" s="61"/>
      <c r="F368" s="61"/>
    </row>
    <row r="369" spans="5:6">
      <c r="E369" s="61"/>
      <c r="F369" s="61"/>
    </row>
    <row r="370" spans="5:6">
      <c r="E370" s="61"/>
      <c r="F370" s="61"/>
    </row>
    <row r="371" spans="5:6">
      <c r="E371" s="61"/>
      <c r="F371" s="61"/>
    </row>
    <row r="372" spans="5:6">
      <c r="E372" s="61"/>
      <c r="F372" s="61"/>
    </row>
    <row r="373" spans="5:6">
      <c r="E373" s="61"/>
      <c r="F373" s="61"/>
    </row>
    <row r="374" spans="5:6">
      <c r="E374" s="61"/>
      <c r="F374" s="61"/>
    </row>
    <row r="375" spans="5:6">
      <c r="E375" s="61"/>
      <c r="F375" s="61"/>
    </row>
    <row r="376" spans="5:6">
      <c r="E376" s="61"/>
      <c r="F376" s="61"/>
    </row>
    <row r="377" spans="5:6">
      <c r="E377" s="61"/>
      <c r="F377" s="61"/>
    </row>
    <row r="378" spans="5:6">
      <c r="E378" s="61"/>
      <c r="F378" s="61"/>
    </row>
    <row r="379" spans="5:6">
      <c r="E379" s="61"/>
      <c r="F379" s="61"/>
    </row>
    <row r="380" spans="5:6">
      <c r="E380" s="61"/>
      <c r="F380" s="61"/>
    </row>
    <row r="381" spans="5:6">
      <c r="E381" s="61"/>
      <c r="F381" s="61"/>
    </row>
    <row r="382" spans="5:6">
      <c r="E382" s="61"/>
      <c r="F382" s="61"/>
    </row>
    <row r="383" spans="5:6">
      <c r="E383" s="61"/>
      <c r="F383" s="61"/>
    </row>
    <row r="384" spans="5:6">
      <c r="E384" s="61"/>
      <c r="F384" s="61"/>
    </row>
    <row r="385" spans="5:6">
      <c r="E385" s="61"/>
      <c r="F385" s="61"/>
    </row>
    <row r="386" spans="5:6">
      <c r="E386" s="61"/>
      <c r="F386" s="61"/>
    </row>
    <row r="387" spans="5:6">
      <c r="E387" s="61"/>
      <c r="F387" s="61"/>
    </row>
    <row r="388" spans="5:6">
      <c r="E388" s="61"/>
      <c r="F388" s="61"/>
    </row>
    <row r="389" spans="5:6">
      <c r="E389" s="61"/>
      <c r="F389" s="61"/>
    </row>
    <row r="390" spans="5:6">
      <c r="E390" s="61"/>
      <c r="F390" s="61"/>
    </row>
    <row r="391" spans="5:6">
      <c r="E391" s="61"/>
      <c r="F391" s="61"/>
    </row>
    <row r="392" spans="5:6">
      <c r="E392" s="61"/>
      <c r="F392" s="61"/>
    </row>
    <row r="393" spans="5:6">
      <c r="E393" s="61"/>
      <c r="F393" s="61"/>
    </row>
    <row r="394" spans="5:6">
      <c r="E394" s="61"/>
      <c r="F394" s="61"/>
    </row>
    <row r="395" spans="5:6">
      <c r="E395" s="61"/>
      <c r="F395" s="61"/>
    </row>
    <row r="396" spans="5:6">
      <c r="E396" s="61"/>
      <c r="F396" s="61"/>
    </row>
    <row r="397" spans="5:6">
      <c r="E397" s="61"/>
      <c r="F397" s="61"/>
    </row>
    <row r="398" spans="5:6">
      <c r="E398" s="61"/>
      <c r="F398" s="61"/>
    </row>
    <row r="399" spans="5:6">
      <c r="E399" s="61"/>
      <c r="F399" s="61"/>
    </row>
    <row r="400" spans="5:6">
      <c r="E400" s="61"/>
      <c r="F400" s="61"/>
    </row>
    <row r="401" spans="5:6">
      <c r="E401" s="61"/>
      <c r="F401" s="61"/>
    </row>
    <row r="402" spans="5:6">
      <c r="E402" s="61"/>
      <c r="F402" s="61"/>
    </row>
    <row r="403" spans="5:6">
      <c r="E403" s="61"/>
      <c r="F403" s="61"/>
    </row>
    <row r="404" spans="5:6">
      <c r="E404" s="61"/>
      <c r="F404" s="61"/>
    </row>
    <row r="405" spans="5:6">
      <c r="E405" s="61"/>
      <c r="F405" s="61"/>
    </row>
    <row r="406" spans="5:6">
      <c r="E406" s="61"/>
      <c r="F406" s="61"/>
    </row>
    <row r="407" spans="5:6">
      <c r="E407" s="61"/>
      <c r="F407" s="61"/>
    </row>
    <row r="408" spans="5:6">
      <c r="E408" s="61"/>
      <c r="F408" s="61"/>
    </row>
    <row r="409" spans="5:6">
      <c r="E409" s="61"/>
      <c r="F409" s="61"/>
    </row>
    <row r="410" spans="5:6">
      <c r="E410" s="61"/>
      <c r="F410" s="61"/>
    </row>
    <row r="411" spans="5:6">
      <c r="E411" s="61"/>
      <c r="F411" s="61"/>
    </row>
    <row r="412" spans="5:6">
      <c r="E412" s="61"/>
      <c r="F412" s="61"/>
    </row>
    <row r="413" spans="5:6">
      <c r="E413" s="61"/>
      <c r="F413" s="61"/>
    </row>
    <row r="414" spans="5:6">
      <c r="E414" s="61"/>
      <c r="F414" s="61"/>
    </row>
    <row r="415" spans="5:6">
      <c r="E415" s="61"/>
      <c r="F415" s="61"/>
    </row>
    <row r="416" spans="5:6">
      <c r="E416" s="61"/>
      <c r="F416" s="61"/>
    </row>
    <row r="417" spans="5:6">
      <c r="E417" s="61"/>
      <c r="F417" s="61"/>
    </row>
    <row r="418" spans="5:6">
      <c r="E418" s="61"/>
      <c r="F418" s="61"/>
    </row>
    <row r="419" spans="5:6">
      <c r="E419" s="61"/>
      <c r="F419" s="61"/>
    </row>
    <row r="420" spans="5:6">
      <c r="E420" s="61"/>
      <c r="F420" s="61"/>
    </row>
    <row r="421" spans="5:6">
      <c r="E421" s="61"/>
      <c r="F421" s="61"/>
    </row>
    <row r="422" spans="5:6">
      <c r="E422" s="61"/>
      <c r="F422" s="61"/>
    </row>
    <row r="423" spans="5:6">
      <c r="E423" s="61"/>
      <c r="F423" s="61"/>
    </row>
    <row r="424" spans="5:6">
      <c r="E424" s="61"/>
      <c r="F424" s="61"/>
    </row>
    <row r="425" spans="5:6">
      <c r="E425" s="61"/>
      <c r="F425" s="61"/>
    </row>
    <row r="426" spans="5:6">
      <c r="E426" s="61"/>
      <c r="F426" s="61"/>
    </row>
    <row r="427" spans="5:6">
      <c r="E427" s="61"/>
      <c r="F427" s="61"/>
    </row>
    <row r="428" spans="5:6">
      <c r="E428" s="61"/>
      <c r="F428" s="61"/>
    </row>
    <row r="429" spans="5:6">
      <c r="E429" s="61"/>
      <c r="F429" s="61"/>
    </row>
    <row r="430" spans="5:6">
      <c r="E430" s="61"/>
      <c r="F430" s="61"/>
    </row>
    <row r="431" spans="5:6">
      <c r="E431" s="61"/>
      <c r="F431" s="61"/>
    </row>
    <row r="432" spans="5:6">
      <c r="E432" s="61"/>
      <c r="F432" s="61"/>
    </row>
    <row r="433" spans="5:6">
      <c r="E433" s="61"/>
      <c r="F433" s="61"/>
    </row>
    <row r="434" spans="5:6">
      <c r="E434" s="61"/>
      <c r="F434" s="61"/>
    </row>
    <row r="435" spans="5:6">
      <c r="E435" s="61"/>
      <c r="F435" s="61"/>
    </row>
    <row r="436" spans="5:6">
      <c r="E436" s="61"/>
      <c r="F436" s="61"/>
    </row>
    <row r="437" spans="5:6">
      <c r="E437" s="61"/>
      <c r="F437" s="61"/>
    </row>
    <row r="438" spans="5:6">
      <c r="E438" s="61"/>
      <c r="F438" s="61"/>
    </row>
    <row r="439" spans="5:6">
      <c r="E439" s="61"/>
      <c r="F439" s="61"/>
    </row>
    <row r="440" spans="5:6">
      <c r="E440" s="61"/>
      <c r="F440" s="61"/>
    </row>
    <row r="441" spans="5:6">
      <c r="E441" s="61"/>
      <c r="F441" s="61"/>
    </row>
    <row r="442" spans="5:6">
      <c r="E442" s="61"/>
      <c r="F442" s="61"/>
    </row>
    <row r="443" spans="5:6">
      <c r="E443" s="61"/>
      <c r="F443" s="61"/>
    </row>
    <row r="444" spans="5:6">
      <c r="E444" s="61"/>
      <c r="F444" s="61"/>
    </row>
    <row r="445" spans="5:6">
      <c r="E445" s="61"/>
      <c r="F445" s="61"/>
    </row>
    <row r="446" spans="5:6">
      <c r="E446" s="61"/>
      <c r="F446" s="61"/>
    </row>
    <row r="447" spans="5:6">
      <c r="E447" s="61"/>
      <c r="F447" s="61"/>
    </row>
    <row r="448" spans="5:6">
      <c r="E448" s="61"/>
      <c r="F448" s="61"/>
    </row>
    <row r="449" spans="5:6">
      <c r="E449" s="61"/>
      <c r="F449" s="61"/>
    </row>
    <row r="450" spans="5:6">
      <c r="E450" s="61"/>
      <c r="F450" s="61"/>
    </row>
    <row r="451" spans="5:6">
      <c r="E451" s="61"/>
      <c r="F451" s="61"/>
    </row>
    <row r="452" spans="5:6">
      <c r="E452" s="61"/>
      <c r="F452" s="61"/>
    </row>
    <row r="453" spans="5:6">
      <c r="E453" s="61"/>
      <c r="F453" s="61"/>
    </row>
    <row r="454" spans="5:6">
      <c r="E454" s="61"/>
      <c r="F454" s="61"/>
    </row>
    <row r="455" spans="5:6">
      <c r="E455" s="61"/>
      <c r="F455" s="61"/>
    </row>
    <row r="456" spans="5:6">
      <c r="E456" s="61"/>
      <c r="F456" s="61"/>
    </row>
    <row r="457" spans="5:6">
      <c r="E457" s="61"/>
      <c r="F457" s="61"/>
    </row>
    <row r="458" spans="5:6">
      <c r="E458" s="61"/>
      <c r="F458" s="61"/>
    </row>
    <row r="459" spans="5:6">
      <c r="E459" s="61"/>
      <c r="F459" s="61"/>
    </row>
    <row r="460" spans="5:6">
      <c r="E460" s="61"/>
      <c r="F460" s="61"/>
    </row>
    <row r="461" spans="5:6">
      <c r="E461" s="61"/>
      <c r="F461" s="61"/>
    </row>
    <row r="462" spans="5:6">
      <c r="E462" s="61"/>
      <c r="F462" s="61"/>
    </row>
    <row r="463" spans="5:6">
      <c r="E463" s="61"/>
      <c r="F463" s="61"/>
    </row>
    <row r="464" spans="5:6">
      <c r="E464" s="61"/>
      <c r="F464" s="61"/>
    </row>
    <row r="465" spans="5:6">
      <c r="E465" s="61"/>
      <c r="F465" s="61"/>
    </row>
    <row r="466" spans="5:6">
      <c r="E466" s="61"/>
      <c r="F466" s="61"/>
    </row>
    <row r="467" spans="5:6">
      <c r="E467" s="61"/>
      <c r="F467" s="61"/>
    </row>
    <row r="468" spans="5:6">
      <c r="E468" s="61"/>
      <c r="F468" s="61"/>
    </row>
    <row r="469" spans="5:6">
      <c r="E469" s="61"/>
      <c r="F469" s="61"/>
    </row>
    <row r="470" spans="5:6">
      <c r="E470" s="61"/>
      <c r="F470" s="61"/>
    </row>
    <row r="471" spans="5:6">
      <c r="E471" s="61"/>
      <c r="F471" s="61"/>
    </row>
    <row r="472" spans="5:6">
      <c r="E472" s="61"/>
      <c r="F472" s="61"/>
    </row>
    <row r="473" spans="5:6">
      <c r="E473" s="61"/>
      <c r="F473" s="61"/>
    </row>
    <row r="474" spans="5:6">
      <c r="E474" s="61"/>
      <c r="F474" s="61"/>
    </row>
    <row r="475" spans="5:6">
      <c r="E475" s="61"/>
      <c r="F475" s="61"/>
    </row>
    <row r="476" spans="5:6">
      <c r="E476" s="61"/>
      <c r="F476" s="61"/>
    </row>
    <row r="477" spans="5:6">
      <c r="E477" s="61"/>
      <c r="F477" s="61"/>
    </row>
    <row r="478" spans="5:6">
      <c r="E478" s="61"/>
      <c r="F478" s="61"/>
    </row>
    <row r="479" spans="5:6">
      <c r="E479" s="61"/>
      <c r="F479" s="61"/>
    </row>
    <row r="480" spans="5:6">
      <c r="E480" s="61"/>
      <c r="F480" s="61"/>
    </row>
    <row r="481" spans="5:6">
      <c r="E481" s="61"/>
      <c r="F481" s="61"/>
    </row>
    <row r="482" spans="5:6">
      <c r="E482" s="61"/>
      <c r="F482" s="61"/>
    </row>
    <row r="483" spans="5:6">
      <c r="E483" s="61"/>
      <c r="F483" s="61"/>
    </row>
    <row r="484" spans="5:6">
      <c r="E484" s="61"/>
      <c r="F484" s="61"/>
    </row>
    <row r="485" spans="5:6">
      <c r="E485" s="61"/>
      <c r="F485" s="61"/>
    </row>
    <row r="486" spans="5:6">
      <c r="E486" s="61"/>
      <c r="F486" s="61"/>
    </row>
    <row r="487" spans="5:6">
      <c r="E487" s="61"/>
      <c r="F487" s="61"/>
    </row>
    <row r="488" spans="5:6">
      <c r="E488" s="61"/>
      <c r="F488" s="61"/>
    </row>
    <row r="489" spans="5:6">
      <c r="E489" s="61"/>
      <c r="F489" s="61"/>
    </row>
    <row r="490" spans="5:6">
      <c r="E490" s="61"/>
      <c r="F490" s="61"/>
    </row>
    <row r="491" spans="5:6">
      <c r="E491" s="61"/>
      <c r="F491" s="61"/>
    </row>
    <row r="492" spans="5:6">
      <c r="E492" s="61"/>
      <c r="F492" s="61"/>
    </row>
    <row r="493" spans="5:6">
      <c r="E493" s="61"/>
      <c r="F493" s="61"/>
    </row>
    <row r="494" spans="5:6">
      <c r="E494" s="61"/>
      <c r="F494" s="61"/>
    </row>
    <row r="495" spans="5:6">
      <c r="E495" s="61"/>
      <c r="F495" s="61"/>
    </row>
    <row r="496" spans="5:6">
      <c r="E496" s="61"/>
      <c r="F496" s="61"/>
    </row>
    <row r="497" spans="5:6">
      <c r="E497" s="61"/>
      <c r="F497" s="61"/>
    </row>
    <row r="498" spans="5:6">
      <c r="E498" s="61"/>
      <c r="F498" s="61"/>
    </row>
    <row r="499" spans="5:6">
      <c r="E499" s="61"/>
      <c r="F499" s="61"/>
    </row>
    <row r="500" spans="5:6">
      <c r="E500" s="61"/>
      <c r="F500" s="61"/>
    </row>
    <row r="501" spans="5:6">
      <c r="E501" s="61"/>
      <c r="F501" s="61"/>
    </row>
    <row r="502" spans="5:6">
      <c r="E502" s="61"/>
      <c r="F502" s="61"/>
    </row>
    <row r="503" spans="5:6">
      <c r="E503" s="61"/>
      <c r="F503" s="61"/>
    </row>
    <row r="504" spans="5:6">
      <c r="E504" s="61"/>
      <c r="F504" s="61"/>
    </row>
    <row r="505" spans="5:6">
      <c r="E505" s="61"/>
      <c r="F505" s="61"/>
    </row>
    <row r="506" spans="5:6">
      <c r="E506" s="61"/>
      <c r="F506" s="61"/>
    </row>
    <row r="507" spans="5:6">
      <c r="E507" s="61"/>
      <c r="F507" s="61"/>
    </row>
    <row r="508" spans="5:6">
      <c r="E508" s="61"/>
      <c r="F508" s="61"/>
    </row>
    <row r="509" spans="5:6">
      <c r="E509" s="61"/>
      <c r="F509" s="61"/>
    </row>
    <row r="510" spans="5:6">
      <c r="E510" s="61"/>
      <c r="F510" s="61"/>
    </row>
    <row r="511" spans="5:6">
      <c r="E511" s="61"/>
      <c r="F511" s="61"/>
    </row>
    <row r="512" spans="5:6">
      <c r="E512" s="61"/>
      <c r="F512" s="61"/>
    </row>
    <row r="513" spans="5:6">
      <c r="E513" s="61"/>
      <c r="F513" s="61"/>
    </row>
    <row r="514" spans="5:6">
      <c r="E514" s="61"/>
      <c r="F514" s="61"/>
    </row>
    <row r="515" spans="5:6">
      <c r="E515" s="61"/>
      <c r="F515" s="61"/>
    </row>
    <row r="516" spans="5:6">
      <c r="E516" s="61"/>
      <c r="F516" s="61"/>
    </row>
    <row r="517" spans="5:6">
      <c r="E517" s="61"/>
      <c r="F517" s="61"/>
    </row>
    <row r="518" spans="5:6">
      <c r="E518" s="61"/>
      <c r="F518" s="61"/>
    </row>
    <row r="519" spans="5:6">
      <c r="E519" s="61"/>
      <c r="F519" s="61"/>
    </row>
    <row r="520" spans="5:6">
      <c r="E520" s="61"/>
      <c r="F520" s="61"/>
    </row>
    <row r="521" spans="5:6">
      <c r="E521" s="61"/>
      <c r="F521" s="61"/>
    </row>
    <row r="522" spans="5:6">
      <c r="E522" s="61"/>
      <c r="F522" s="61"/>
    </row>
    <row r="523" spans="5:6">
      <c r="E523" s="61"/>
      <c r="F523" s="61"/>
    </row>
    <row r="524" spans="5:6">
      <c r="E524" s="61"/>
      <c r="F524" s="61"/>
    </row>
    <row r="525" spans="5:6">
      <c r="E525" s="61"/>
      <c r="F525" s="61"/>
    </row>
    <row r="526" spans="5:6">
      <c r="E526" s="61"/>
      <c r="F526" s="61"/>
    </row>
    <row r="527" spans="5:6">
      <c r="E527" s="61"/>
      <c r="F527" s="61"/>
    </row>
    <row r="528" spans="5:6">
      <c r="E528" s="61"/>
      <c r="F528" s="61"/>
    </row>
    <row r="529" spans="5:6">
      <c r="E529" s="61"/>
      <c r="F529" s="61"/>
    </row>
    <row r="530" spans="5:6">
      <c r="E530" s="61"/>
      <c r="F530" s="61"/>
    </row>
    <row r="531" spans="5:6">
      <c r="E531" s="61"/>
      <c r="F531" s="61"/>
    </row>
    <row r="532" spans="5:6">
      <c r="E532" s="61"/>
      <c r="F532" s="61"/>
    </row>
    <row r="533" spans="5:6">
      <c r="E533" s="61"/>
      <c r="F533" s="61"/>
    </row>
    <row r="534" spans="5:6">
      <c r="E534" s="61"/>
      <c r="F534" s="61"/>
    </row>
    <row r="535" spans="5:6">
      <c r="E535" s="61"/>
      <c r="F535" s="61"/>
    </row>
    <row r="536" spans="5:6">
      <c r="E536" s="61"/>
      <c r="F536" s="61"/>
    </row>
    <row r="537" spans="5:6">
      <c r="E537" s="61"/>
      <c r="F537" s="61"/>
    </row>
    <row r="538" spans="5:6">
      <c r="E538" s="61"/>
      <c r="F538" s="61"/>
    </row>
    <row r="539" spans="5:6">
      <c r="E539" s="61"/>
      <c r="F539" s="61"/>
    </row>
    <row r="540" spans="5:6">
      <c r="E540" s="61"/>
      <c r="F540" s="61"/>
    </row>
    <row r="541" spans="5:6">
      <c r="E541" s="61"/>
      <c r="F541" s="61"/>
    </row>
    <row r="542" spans="5:6">
      <c r="E542" s="61"/>
      <c r="F542" s="61"/>
    </row>
    <row r="543" spans="5:6">
      <c r="E543" s="61"/>
      <c r="F543" s="61"/>
    </row>
    <row r="544" spans="5:6">
      <c r="E544" s="61"/>
      <c r="F544" s="61"/>
    </row>
    <row r="545" spans="5:6">
      <c r="E545" s="61"/>
      <c r="F545" s="61"/>
    </row>
    <row r="546" spans="5:6">
      <c r="E546" s="61"/>
      <c r="F546" s="61"/>
    </row>
    <row r="547" spans="5:6">
      <c r="E547" s="61"/>
      <c r="F547" s="61"/>
    </row>
    <row r="548" spans="5:6">
      <c r="E548" s="61"/>
      <c r="F548" s="61"/>
    </row>
    <row r="549" spans="5:6">
      <c r="E549" s="61"/>
      <c r="F549" s="61"/>
    </row>
    <row r="550" spans="5:6">
      <c r="E550" s="61"/>
      <c r="F550" s="61"/>
    </row>
    <row r="551" spans="5:6">
      <c r="E551" s="61"/>
      <c r="F551" s="61"/>
    </row>
    <row r="552" spans="5:6">
      <c r="E552" s="61"/>
      <c r="F552" s="61"/>
    </row>
    <row r="553" spans="5:6">
      <c r="E553" s="61"/>
      <c r="F553" s="61"/>
    </row>
    <row r="554" spans="5:6">
      <c r="E554" s="61"/>
      <c r="F554" s="61"/>
    </row>
    <row r="555" spans="5:6">
      <c r="E555" s="61"/>
      <c r="F555" s="61"/>
    </row>
    <row r="556" spans="5:6">
      <c r="E556" s="61"/>
      <c r="F556" s="61"/>
    </row>
    <row r="557" spans="5:6">
      <c r="E557" s="61"/>
      <c r="F557" s="61"/>
    </row>
    <row r="558" spans="5:6">
      <c r="E558" s="61"/>
      <c r="F558" s="61"/>
    </row>
    <row r="559" spans="5:6">
      <c r="E559" s="61"/>
      <c r="F559" s="61"/>
    </row>
    <row r="560" spans="5:6">
      <c r="E560" s="61"/>
      <c r="F560" s="61"/>
    </row>
    <row r="561" spans="5:6">
      <c r="E561" s="61"/>
      <c r="F561" s="61"/>
    </row>
    <row r="562" spans="5:6">
      <c r="E562" s="61"/>
      <c r="F562" s="61"/>
    </row>
    <row r="563" spans="5:6">
      <c r="E563" s="61"/>
      <c r="F563" s="61"/>
    </row>
    <row r="564" spans="5:6">
      <c r="E564" s="61"/>
      <c r="F564" s="61"/>
    </row>
    <row r="565" spans="5:6">
      <c r="E565" s="61"/>
      <c r="F565" s="61"/>
    </row>
    <row r="566" spans="5:6">
      <c r="E566" s="61"/>
      <c r="F566" s="61"/>
    </row>
    <row r="567" spans="5:6">
      <c r="E567" s="61"/>
      <c r="F567" s="61"/>
    </row>
    <row r="568" spans="5:6">
      <c r="E568" s="61"/>
      <c r="F568" s="61"/>
    </row>
    <row r="569" spans="5:6">
      <c r="E569" s="61"/>
      <c r="F569" s="61"/>
    </row>
    <row r="570" spans="5:6">
      <c r="E570" s="61"/>
      <c r="F570" s="61"/>
    </row>
    <row r="571" spans="5:6">
      <c r="E571" s="61"/>
      <c r="F571" s="61"/>
    </row>
    <row r="572" spans="5:6">
      <c r="E572" s="61"/>
      <c r="F572" s="61"/>
    </row>
    <row r="573" spans="5:6">
      <c r="E573" s="61"/>
      <c r="F573" s="61"/>
    </row>
    <row r="574" spans="5:6">
      <c r="E574" s="61"/>
      <c r="F574" s="61"/>
    </row>
    <row r="575" spans="5:6">
      <c r="E575" s="61"/>
      <c r="F575" s="61"/>
    </row>
    <row r="576" spans="5:6">
      <c r="E576" s="61"/>
      <c r="F576" s="61"/>
    </row>
    <row r="577" spans="5:6">
      <c r="E577" s="61"/>
      <c r="F577" s="61"/>
    </row>
    <row r="578" spans="5:6">
      <c r="E578" s="61"/>
      <c r="F578" s="61"/>
    </row>
    <row r="579" spans="5:6">
      <c r="E579" s="61"/>
      <c r="F579" s="61"/>
    </row>
    <row r="580" spans="5:6">
      <c r="E580" s="61"/>
      <c r="F580" s="61"/>
    </row>
    <row r="581" spans="5:6">
      <c r="E581" s="61"/>
      <c r="F581" s="61"/>
    </row>
    <row r="582" spans="5:6">
      <c r="E582" s="61"/>
      <c r="F582" s="61"/>
    </row>
    <row r="583" spans="5:6">
      <c r="E583" s="61"/>
      <c r="F583" s="61"/>
    </row>
    <row r="584" spans="5:6">
      <c r="E584" s="61"/>
      <c r="F584" s="61"/>
    </row>
    <row r="585" spans="5:6">
      <c r="E585" s="61"/>
      <c r="F585" s="61"/>
    </row>
    <row r="586" spans="5:6">
      <c r="E586" s="61"/>
      <c r="F586" s="61"/>
    </row>
    <row r="587" spans="5:6">
      <c r="E587" s="61"/>
      <c r="F587" s="61"/>
    </row>
    <row r="588" spans="5:6">
      <c r="E588" s="61"/>
      <c r="F588" s="61"/>
    </row>
    <row r="589" spans="5:6">
      <c r="E589" s="61"/>
      <c r="F589" s="61"/>
    </row>
    <row r="590" spans="5:6">
      <c r="E590" s="61"/>
      <c r="F590" s="61"/>
    </row>
    <row r="591" spans="5:6">
      <c r="E591" s="61"/>
      <c r="F591" s="61"/>
    </row>
    <row r="592" spans="5:6">
      <c r="E592" s="61"/>
      <c r="F592" s="61"/>
    </row>
    <row r="593" spans="5:6">
      <c r="E593" s="61"/>
      <c r="F593" s="61"/>
    </row>
    <row r="594" spans="5:6">
      <c r="E594" s="61"/>
      <c r="F594" s="61"/>
    </row>
    <row r="595" spans="5:6">
      <c r="E595" s="61"/>
      <c r="F595" s="61"/>
    </row>
    <row r="596" spans="5:6">
      <c r="E596" s="61"/>
      <c r="F596" s="61"/>
    </row>
    <row r="597" spans="5:6">
      <c r="E597" s="61"/>
      <c r="F597" s="61"/>
    </row>
    <row r="598" spans="5:6">
      <c r="E598" s="61"/>
      <c r="F598" s="61"/>
    </row>
    <row r="599" spans="5:6">
      <c r="E599" s="61"/>
      <c r="F599" s="61"/>
    </row>
    <row r="600" spans="5:6">
      <c r="E600" s="61"/>
      <c r="F600" s="61"/>
    </row>
    <row r="601" spans="5:6">
      <c r="E601" s="61"/>
      <c r="F601" s="61"/>
    </row>
    <row r="602" spans="5:6">
      <c r="E602" s="61"/>
      <c r="F602" s="61"/>
    </row>
    <row r="603" spans="5:6">
      <c r="E603" s="61"/>
      <c r="F603" s="61"/>
    </row>
    <row r="604" spans="5:6">
      <c r="E604" s="61"/>
      <c r="F604" s="61"/>
    </row>
    <row r="605" spans="5:6">
      <c r="E605" s="61"/>
      <c r="F605" s="61"/>
    </row>
    <row r="606" spans="5:6">
      <c r="E606" s="61"/>
      <c r="F606" s="61"/>
    </row>
    <row r="607" spans="5:6">
      <c r="E607" s="61"/>
      <c r="F607" s="61"/>
    </row>
    <row r="608" spans="5:6">
      <c r="E608" s="61"/>
      <c r="F608" s="61"/>
    </row>
    <row r="609" spans="5:6">
      <c r="E609" s="61"/>
      <c r="F609" s="61"/>
    </row>
    <row r="610" spans="5:6">
      <c r="E610" s="61"/>
      <c r="F610" s="61"/>
    </row>
    <row r="611" spans="5:6">
      <c r="E611" s="61"/>
      <c r="F611" s="61"/>
    </row>
    <row r="612" spans="5:6">
      <c r="E612" s="61"/>
      <c r="F612" s="61"/>
    </row>
    <row r="613" spans="5:6">
      <c r="E613" s="61"/>
      <c r="F613" s="61"/>
    </row>
    <row r="614" spans="5:6">
      <c r="E614" s="61"/>
      <c r="F614" s="61"/>
    </row>
    <row r="615" spans="5:6">
      <c r="E615" s="61"/>
      <c r="F615" s="61"/>
    </row>
    <row r="616" spans="5:6">
      <c r="E616" s="61"/>
      <c r="F616" s="61"/>
    </row>
    <row r="617" spans="5:6">
      <c r="E617" s="61"/>
      <c r="F617" s="61"/>
    </row>
    <row r="618" spans="5:6">
      <c r="E618" s="61"/>
      <c r="F618" s="61"/>
    </row>
    <row r="619" spans="5:6">
      <c r="E619" s="61"/>
      <c r="F619" s="61"/>
    </row>
    <row r="620" spans="5:6">
      <c r="E620" s="61"/>
      <c r="F620" s="61"/>
    </row>
    <row r="621" spans="5:6">
      <c r="E621" s="61"/>
      <c r="F621" s="61"/>
    </row>
    <row r="622" spans="5:6">
      <c r="E622" s="61"/>
      <c r="F622" s="61"/>
    </row>
    <row r="623" spans="5:6">
      <c r="E623" s="61"/>
      <c r="F623" s="61"/>
    </row>
    <row r="624" spans="5:6">
      <c r="E624" s="61"/>
      <c r="F624" s="61"/>
    </row>
    <row r="625" spans="5:6">
      <c r="E625" s="61"/>
      <c r="F625" s="61"/>
    </row>
    <row r="626" spans="5:6">
      <c r="E626" s="61"/>
      <c r="F626" s="61"/>
    </row>
    <row r="627" spans="5:6">
      <c r="E627" s="61"/>
      <c r="F627" s="61"/>
    </row>
    <row r="628" spans="5:6">
      <c r="E628" s="61"/>
      <c r="F628" s="61"/>
    </row>
    <row r="629" spans="5:6">
      <c r="E629" s="61"/>
      <c r="F629" s="61"/>
    </row>
    <row r="630" spans="5:6">
      <c r="E630" s="61"/>
      <c r="F630" s="61"/>
    </row>
    <row r="631" spans="5:6">
      <c r="E631" s="61"/>
      <c r="F631" s="61"/>
    </row>
    <row r="632" spans="5:6">
      <c r="E632" s="61"/>
      <c r="F632" s="61"/>
    </row>
    <row r="633" spans="5:6">
      <c r="E633" s="61"/>
      <c r="F633" s="61"/>
    </row>
    <row r="634" spans="5:6">
      <c r="E634" s="61"/>
      <c r="F634" s="61"/>
    </row>
    <row r="635" spans="5:6">
      <c r="E635" s="61"/>
      <c r="F635" s="61"/>
    </row>
    <row r="636" spans="5:6">
      <c r="E636" s="61"/>
      <c r="F636" s="61"/>
    </row>
    <row r="637" spans="5:6">
      <c r="E637" s="61"/>
      <c r="F637" s="61"/>
    </row>
    <row r="638" spans="5:6">
      <c r="E638" s="61"/>
      <c r="F638" s="61"/>
    </row>
    <row r="639" spans="5:6">
      <c r="E639" s="61"/>
      <c r="F639" s="61"/>
    </row>
    <row r="640" spans="5:6">
      <c r="E640" s="61"/>
      <c r="F640" s="61"/>
    </row>
    <row r="641" spans="5:6">
      <c r="E641" s="61"/>
      <c r="F641" s="61"/>
    </row>
    <row r="642" spans="5:6">
      <c r="E642" s="61"/>
      <c r="F642" s="61"/>
    </row>
    <row r="643" spans="5:6">
      <c r="E643" s="61"/>
      <c r="F643" s="61"/>
    </row>
    <row r="644" spans="5:6">
      <c r="E644" s="61"/>
      <c r="F644" s="61"/>
    </row>
    <row r="645" spans="5:6">
      <c r="E645" s="61"/>
      <c r="F645" s="61"/>
    </row>
    <row r="646" spans="5:6">
      <c r="E646" s="61"/>
      <c r="F646" s="61"/>
    </row>
    <row r="647" spans="5:6">
      <c r="E647" s="61"/>
      <c r="F647" s="61"/>
    </row>
    <row r="648" spans="5:6">
      <c r="E648" s="61"/>
      <c r="F648" s="61"/>
    </row>
    <row r="649" spans="5:6">
      <c r="E649" s="61"/>
      <c r="F649" s="61"/>
    </row>
    <row r="650" spans="5:6">
      <c r="E650" s="61"/>
      <c r="F650" s="61"/>
    </row>
    <row r="651" spans="5:6">
      <c r="E651" s="61"/>
      <c r="F651" s="61"/>
    </row>
    <row r="652" spans="5:6">
      <c r="E652" s="61"/>
      <c r="F652" s="61"/>
    </row>
    <row r="653" spans="5:6">
      <c r="E653" s="61"/>
      <c r="F653" s="61"/>
    </row>
    <row r="654" spans="5:6">
      <c r="E654" s="61"/>
      <c r="F654" s="61"/>
    </row>
    <row r="655" spans="5:6">
      <c r="E655" s="61"/>
      <c r="F655" s="61"/>
    </row>
    <row r="656" spans="5:6">
      <c r="E656" s="61"/>
      <c r="F656" s="61"/>
    </row>
    <row r="657" spans="5:6">
      <c r="E657" s="61"/>
      <c r="F657" s="61"/>
    </row>
    <row r="658" spans="5:6">
      <c r="E658" s="61"/>
      <c r="F658" s="61"/>
    </row>
    <row r="659" spans="5:6">
      <c r="E659" s="61"/>
      <c r="F659" s="61"/>
    </row>
    <row r="660" spans="5:6">
      <c r="E660" s="61"/>
      <c r="F660" s="61"/>
    </row>
    <row r="661" spans="5:6">
      <c r="E661" s="61"/>
      <c r="F661" s="61"/>
    </row>
    <row r="662" spans="5:6">
      <c r="E662" s="61"/>
      <c r="F662" s="61"/>
    </row>
    <row r="663" spans="5:6">
      <c r="E663" s="61"/>
      <c r="F663" s="61"/>
    </row>
    <row r="664" spans="5:6">
      <c r="E664" s="61"/>
      <c r="F664" s="61"/>
    </row>
    <row r="665" spans="5:6">
      <c r="E665" s="61"/>
      <c r="F665" s="61"/>
    </row>
    <row r="666" spans="5:6">
      <c r="E666" s="61"/>
      <c r="F666" s="61"/>
    </row>
    <row r="667" spans="5:6">
      <c r="E667" s="61"/>
      <c r="F667" s="61"/>
    </row>
    <row r="668" spans="5:6">
      <c r="E668" s="61"/>
      <c r="F668" s="61"/>
    </row>
    <row r="669" spans="5:6">
      <c r="E669" s="61"/>
      <c r="F669" s="61"/>
    </row>
    <row r="670" spans="5:6">
      <c r="E670" s="61"/>
      <c r="F670" s="61"/>
    </row>
    <row r="671" spans="5:6">
      <c r="E671" s="61"/>
      <c r="F671" s="61"/>
    </row>
    <row r="672" spans="5:6">
      <c r="E672" s="61"/>
      <c r="F672" s="61"/>
    </row>
    <row r="673" spans="5:6">
      <c r="E673" s="61"/>
      <c r="F673" s="61"/>
    </row>
    <row r="674" spans="5:6">
      <c r="E674" s="61"/>
      <c r="F674" s="61"/>
    </row>
    <row r="675" spans="5:6">
      <c r="E675" s="61"/>
      <c r="F675" s="61"/>
    </row>
    <row r="676" spans="5:6">
      <c r="E676" s="61"/>
      <c r="F676" s="61"/>
    </row>
    <row r="677" spans="5:6">
      <c r="E677" s="61"/>
      <c r="F677" s="61"/>
    </row>
    <row r="678" spans="5:6">
      <c r="E678" s="61"/>
      <c r="F678" s="61"/>
    </row>
    <row r="679" spans="5:6">
      <c r="E679" s="61"/>
      <c r="F679" s="61"/>
    </row>
    <row r="680" spans="5:6">
      <c r="E680" s="61"/>
      <c r="F680" s="61"/>
    </row>
    <row r="681" spans="5:6">
      <c r="E681" s="61"/>
      <c r="F681" s="61"/>
    </row>
    <row r="682" spans="5:6">
      <c r="E682" s="61"/>
      <c r="F682" s="61"/>
    </row>
    <row r="683" spans="5:6">
      <c r="E683" s="61"/>
      <c r="F683" s="61"/>
    </row>
    <row r="684" spans="5:6">
      <c r="E684" s="61"/>
      <c r="F684" s="61"/>
    </row>
    <row r="685" spans="5:6">
      <c r="E685" s="61"/>
      <c r="F685" s="61"/>
    </row>
    <row r="686" spans="5:6">
      <c r="E686" s="61"/>
      <c r="F686" s="61"/>
    </row>
    <row r="687" spans="5:6">
      <c r="E687" s="61"/>
      <c r="F687" s="61"/>
    </row>
    <row r="688" spans="5:6">
      <c r="E688" s="61"/>
      <c r="F688" s="61"/>
    </row>
    <row r="689" spans="5:6">
      <c r="E689" s="61"/>
      <c r="F689" s="61"/>
    </row>
    <row r="690" spans="5:6">
      <c r="E690" s="61"/>
      <c r="F690" s="61"/>
    </row>
    <row r="691" spans="5:6">
      <c r="E691" s="61"/>
      <c r="F691" s="61"/>
    </row>
    <row r="692" spans="5:6">
      <c r="E692" s="61"/>
      <c r="F692" s="61"/>
    </row>
    <row r="693" spans="5:6">
      <c r="E693" s="61"/>
      <c r="F693" s="61"/>
    </row>
    <row r="694" spans="5:6">
      <c r="E694" s="61"/>
      <c r="F694" s="61"/>
    </row>
    <row r="695" spans="5:6">
      <c r="E695" s="61"/>
      <c r="F695" s="61"/>
    </row>
    <row r="696" spans="5:6">
      <c r="E696" s="61"/>
      <c r="F696" s="61"/>
    </row>
    <row r="697" spans="5:6">
      <c r="E697" s="61"/>
      <c r="F697" s="61"/>
    </row>
    <row r="698" spans="5:6">
      <c r="E698" s="61"/>
      <c r="F698" s="61"/>
    </row>
    <row r="699" spans="5:6">
      <c r="E699" s="61"/>
      <c r="F699" s="61"/>
    </row>
    <row r="700" spans="5:6">
      <c r="E700" s="61"/>
      <c r="F700" s="61"/>
    </row>
    <row r="701" spans="5:6">
      <c r="E701" s="61"/>
      <c r="F701" s="61"/>
    </row>
    <row r="702" spans="5:6">
      <c r="E702" s="61"/>
      <c r="F702" s="61"/>
    </row>
    <row r="703" spans="5:6">
      <c r="E703" s="61"/>
      <c r="F703" s="61"/>
    </row>
    <row r="704" spans="5:6">
      <c r="E704" s="61"/>
      <c r="F704" s="61"/>
    </row>
    <row r="705" spans="5:6">
      <c r="E705" s="61"/>
      <c r="F705" s="61"/>
    </row>
    <row r="706" spans="5:6">
      <c r="E706" s="61"/>
      <c r="F706" s="61"/>
    </row>
    <row r="707" spans="5:6">
      <c r="E707" s="61"/>
      <c r="F707" s="61"/>
    </row>
    <row r="708" spans="5:6">
      <c r="E708" s="61"/>
      <c r="F708" s="61"/>
    </row>
    <row r="709" spans="5:6">
      <c r="E709" s="61"/>
      <c r="F709" s="61"/>
    </row>
    <row r="710" spans="5:6">
      <c r="E710" s="61"/>
      <c r="F710" s="61"/>
    </row>
    <row r="711" spans="5:6">
      <c r="E711" s="61"/>
      <c r="F711" s="61"/>
    </row>
    <row r="712" spans="5:6">
      <c r="E712" s="61"/>
      <c r="F712" s="61"/>
    </row>
    <row r="713" spans="5:6">
      <c r="E713" s="61"/>
      <c r="F713" s="61"/>
    </row>
    <row r="714" spans="5:6">
      <c r="E714" s="61"/>
      <c r="F714" s="61"/>
    </row>
    <row r="715" spans="5:6">
      <c r="E715" s="61"/>
      <c r="F715" s="61"/>
    </row>
    <row r="716" spans="5:6">
      <c r="E716" s="61"/>
      <c r="F716" s="61"/>
    </row>
    <row r="717" spans="5:6">
      <c r="E717" s="61"/>
      <c r="F717" s="61"/>
    </row>
    <row r="718" spans="5:6">
      <c r="E718" s="61"/>
      <c r="F718" s="61"/>
    </row>
    <row r="719" spans="5:6">
      <c r="E719" s="61"/>
      <c r="F719" s="61"/>
    </row>
    <row r="720" spans="5:6">
      <c r="E720" s="61"/>
      <c r="F720" s="61"/>
    </row>
    <row r="721" spans="5:6">
      <c r="E721" s="61"/>
      <c r="F721" s="61"/>
    </row>
    <row r="722" spans="5:6">
      <c r="E722" s="61"/>
      <c r="F722" s="61"/>
    </row>
    <row r="723" spans="5:6">
      <c r="E723" s="61"/>
      <c r="F723" s="61"/>
    </row>
    <row r="724" spans="5:6">
      <c r="E724" s="61"/>
      <c r="F724" s="61"/>
    </row>
    <row r="725" spans="5:6">
      <c r="E725" s="61"/>
      <c r="F725" s="61"/>
    </row>
    <row r="726" spans="5:6">
      <c r="E726" s="61"/>
      <c r="F726" s="61"/>
    </row>
    <row r="727" spans="5:6">
      <c r="E727" s="61"/>
      <c r="F727" s="61"/>
    </row>
    <row r="728" spans="5:6">
      <c r="E728" s="61"/>
      <c r="F728" s="61"/>
    </row>
    <row r="729" spans="5:6">
      <c r="E729" s="61"/>
      <c r="F729" s="61"/>
    </row>
    <row r="730" spans="5:6">
      <c r="E730" s="61"/>
      <c r="F730" s="61"/>
    </row>
    <row r="731" spans="5:6">
      <c r="E731" s="61"/>
      <c r="F731" s="61"/>
    </row>
    <row r="732" spans="5:6">
      <c r="E732" s="61"/>
      <c r="F732" s="61"/>
    </row>
    <row r="733" spans="5:6">
      <c r="E733" s="61"/>
      <c r="F733" s="61"/>
    </row>
    <row r="734" spans="5:6">
      <c r="E734" s="61"/>
      <c r="F734" s="61"/>
    </row>
    <row r="735" spans="5:6">
      <c r="E735" s="61"/>
      <c r="F735" s="61"/>
    </row>
    <row r="736" spans="5:6">
      <c r="E736" s="61"/>
      <c r="F736" s="61"/>
    </row>
    <row r="737" spans="5:6">
      <c r="E737" s="61"/>
      <c r="F737" s="61"/>
    </row>
    <row r="738" spans="5:6">
      <c r="E738" s="61"/>
      <c r="F738" s="61"/>
    </row>
    <row r="739" spans="5:6">
      <c r="E739" s="61"/>
      <c r="F739" s="61"/>
    </row>
    <row r="740" spans="5:6">
      <c r="E740" s="61"/>
      <c r="F740" s="61"/>
    </row>
    <row r="741" spans="5:6">
      <c r="E741" s="61"/>
      <c r="F741" s="61"/>
    </row>
    <row r="742" spans="5:6">
      <c r="E742" s="61"/>
      <c r="F742" s="61"/>
    </row>
    <row r="743" spans="5:6">
      <c r="E743" s="61"/>
      <c r="F743" s="61"/>
    </row>
    <row r="744" spans="5:6">
      <c r="E744" s="61"/>
      <c r="F744" s="61"/>
    </row>
    <row r="745" spans="5:6">
      <c r="E745" s="61"/>
      <c r="F745" s="61"/>
    </row>
    <row r="746" spans="5:6">
      <c r="E746" s="61"/>
      <c r="F746" s="61"/>
    </row>
    <row r="747" spans="5:6">
      <c r="E747" s="61"/>
      <c r="F747" s="61"/>
    </row>
    <row r="748" spans="5:6">
      <c r="E748" s="61"/>
      <c r="F748" s="61"/>
    </row>
    <row r="749" spans="5:6">
      <c r="E749" s="61"/>
      <c r="F749" s="61"/>
    </row>
    <row r="750" spans="5:6">
      <c r="E750" s="61"/>
      <c r="F750" s="61"/>
    </row>
    <row r="751" spans="5:6">
      <c r="E751" s="61"/>
      <c r="F751" s="61"/>
    </row>
    <row r="752" spans="5:6">
      <c r="E752" s="61"/>
      <c r="F752" s="61"/>
    </row>
    <row r="753" spans="5:6">
      <c r="E753" s="61"/>
      <c r="F753" s="61"/>
    </row>
    <row r="754" spans="5:6">
      <c r="E754" s="61"/>
      <c r="F754" s="61"/>
    </row>
    <row r="755" spans="5:6">
      <c r="E755" s="61"/>
      <c r="F755" s="61"/>
    </row>
    <row r="756" spans="5:6">
      <c r="E756" s="61"/>
      <c r="F756" s="61"/>
    </row>
    <row r="757" spans="5:6">
      <c r="E757" s="61"/>
      <c r="F757" s="61"/>
    </row>
    <row r="758" spans="5:6">
      <c r="E758" s="61"/>
      <c r="F758" s="61"/>
    </row>
    <row r="759" spans="5:6">
      <c r="E759" s="61"/>
      <c r="F759" s="61"/>
    </row>
    <row r="760" spans="5:6">
      <c r="E760" s="61"/>
      <c r="F760" s="61"/>
    </row>
    <row r="761" spans="5:6">
      <c r="E761" s="61"/>
      <c r="F761" s="61"/>
    </row>
    <row r="762" spans="5:6">
      <c r="E762" s="61"/>
      <c r="F762" s="61"/>
    </row>
    <row r="763" spans="5:6">
      <c r="E763" s="61"/>
      <c r="F763" s="61"/>
    </row>
    <row r="764" spans="5:6">
      <c r="E764" s="61"/>
      <c r="F764" s="61"/>
    </row>
    <row r="765" spans="5:6">
      <c r="E765" s="61"/>
      <c r="F765" s="61"/>
    </row>
    <row r="766" spans="5:6">
      <c r="E766" s="61"/>
      <c r="F766" s="61"/>
    </row>
    <row r="767" spans="5:6">
      <c r="E767" s="61"/>
      <c r="F767" s="61"/>
    </row>
    <row r="768" spans="5:6">
      <c r="E768" s="61"/>
      <c r="F768" s="61"/>
    </row>
    <row r="769" spans="5:6">
      <c r="E769" s="61"/>
      <c r="F769" s="61"/>
    </row>
    <row r="770" spans="5:6">
      <c r="E770" s="61"/>
      <c r="F770" s="61"/>
    </row>
    <row r="771" spans="5:6">
      <c r="E771" s="61"/>
      <c r="F771" s="61"/>
    </row>
    <row r="772" spans="5:6">
      <c r="E772" s="61"/>
      <c r="F772" s="61"/>
    </row>
    <row r="773" spans="5:6">
      <c r="E773" s="61"/>
      <c r="F773" s="61"/>
    </row>
    <row r="774" spans="5:6">
      <c r="E774" s="61"/>
      <c r="F774" s="61"/>
    </row>
    <row r="775" spans="5:6">
      <c r="E775" s="61"/>
      <c r="F775" s="61"/>
    </row>
    <row r="776" spans="5:6">
      <c r="E776" s="61"/>
      <c r="F776" s="61"/>
    </row>
    <row r="777" spans="5:6">
      <c r="E777" s="61"/>
      <c r="F777" s="61"/>
    </row>
    <row r="778" spans="5:6">
      <c r="E778" s="61"/>
      <c r="F778" s="61"/>
    </row>
    <row r="779" spans="5:6">
      <c r="E779" s="61"/>
      <c r="F779" s="61"/>
    </row>
    <row r="780" spans="5:6">
      <c r="E780" s="61"/>
      <c r="F780" s="61"/>
    </row>
    <row r="781" spans="5:6">
      <c r="E781" s="61"/>
      <c r="F781" s="61"/>
    </row>
    <row r="782" spans="5:6">
      <c r="E782" s="61"/>
      <c r="F782" s="61"/>
    </row>
    <row r="783" spans="5:6">
      <c r="E783" s="61"/>
      <c r="F783" s="61"/>
    </row>
    <row r="784" spans="5:6">
      <c r="E784" s="61"/>
      <c r="F784" s="61"/>
    </row>
    <row r="785" spans="5:6">
      <c r="E785" s="61"/>
      <c r="F785" s="61"/>
    </row>
    <row r="786" spans="5:6">
      <c r="E786" s="61"/>
      <c r="F786" s="61"/>
    </row>
    <row r="787" spans="5:6">
      <c r="E787" s="61"/>
      <c r="F787" s="61"/>
    </row>
    <row r="788" spans="5:6">
      <c r="E788" s="61"/>
      <c r="F788" s="61"/>
    </row>
    <row r="789" spans="5:6">
      <c r="E789" s="61"/>
      <c r="F789" s="61"/>
    </row>
    <row r="790" spans="5:6">
      <c r="E790" s="61"/>
      <c r="F790" s="61"/>
    </row>
    <row r="791" spans="5:6">
      <c r="E791" s="61"/>
      <c r="F791" s="61"/>
    </row>
    <row r="792" spans="5:6">
      <c r="E792" s="61"/>
      <c r="F792" s="61"/>
    </row>
    <row r="793" spans="5:6">
      <c r="E793" s="61"/>
      <c r="F793" s="61"/>
    </row>
    <row r="794" spans="5:6">
      <c r="E794" s="61"/>
      <c r="F794" s="61"/>
    </row>
    <row r="795" spans="5:6">
      <c r="E795" s="61"/>
      <c r="F795" s="61"/>
    </row>
    <row r="796" spans="5:6">
      <c r="E796" s="61"/>
      <c r="F796" s="61"/>
    </row>
    <row r="797" spans="5:6">
      <c r="E797" s="61"/>
      <c r="F797" s="61"/>
    </row>
    <row r="798" spans="5:6">
      <c r="E798" s="61"/>
      <c r="F798" s="61"/>
    </row>
    <row r="799" spans="5:6">
      <c r="E799" s="61"/>
      <c r="F799" s="61"/>
    </row>
    <row r="800" spans="5:6">
      <c r="E800" s="61"/>
      <c r="F800" s="61"/>
    </row>
    <row r="801" spans="5:6">
      <c r="E801" s="61"/>
      <c r="F801" s="61"/>
    </row>
    <row r="802" spans="5:6">
      <c r="E802" s="61"/>
      <c r="F802" s="61"/>
    </row>
    <row r="803" spans="5:6">
      <c r="E803" s="61"/>
      <c r="F803" s="61"/>
    </row>
    <row r="804" spans="5:6">
      <c r="E804" s="61"/>
      <c r="F804" s="61"/>
    </row>
    <row r="805" spans="5:6">
      <c r="E805" s="61"/>
      <c r="F805" s="61"/>
    </row>
    <row r="806" spans="5:6">
      <c r="E806" s="61"/>
      <c r="F806" s="61"/>
    </row>
    <row r="807" spans="5:6">
      <c r="E807" s="61"/>
      <c r="F807" s="61"/>
    </row>
    <row r="808" spans="5:6">
      <c r="E808" s="61"/>
      <c r="F808" s="61"/>
    </row>
    <row r="809" spans="5:6">
      <c r="E809" s="61"/>
      <c r="F809" s="61"/>
    </row>
    <row r="810" spans="5:6">
      <c r="E810" s="61"/>
      <c r="F810" s="61"/>
    </row>
    <row r="811" spans="5:6">
      <c r="E811" s="61"/>
      <c r="F811" s="61"/>
    </row>
    <row r="812" spans="5:6">
      <c r="E812" s="61"/>
      <c r="F812" s="61"/>
    </row>
    <row r="813" spans="5:6">
      <c r="E813" s="61"/>
      <c r="F813" s="61"/>
    </row>
    <row r="814" spans="5:6">
      <c r="E814" s="61"/>
      <c r="F814" s="61"/>
    </row>
    <row r="815" spans="5:6">
      <c r="E815" s="61"/>
      <c r="F815" s="61"/>
    </row>
    <row r="816" spans="5:6">
      <c r="E816" s="61"/>
      <c r="F816" s="61"/>
    </row>
    <row r="817" spans="5:6">
      <c r="E817" s="61"/>
      <c r="F817" s="61"/>
    </row>
    <row r="818" spans="5:6">
      <c r="E818" s="61"/>
      <c r="F818" s="61"/>
    </row>
    <row r="819" spans="5:6">
      <c r="E819" s="61"/>
      <c r="F819" s="61"/>
    </row>
    <row r="820" spans="5:6">
      <c r="E820" s="61"/>
      <c r="F820" s="61"/>
    </row>
    <row r="821" spans="5:6">
      <c r="E821" s="61"/>
      <c r="F821" s="61"/>
    </row>
    <row r="822" spans="5:6">
      <c r="E822" s="61"/>
      <c r="F822" s="61"/>
    </row>
    <row r="823" spans="5:6">
      <c r="E823" s="61"/>
      <c r="F823" s="61"/>
    </row>
    <row r="824" spans="5:6">
      <c r="E824" s="61"/>
      <c r="F824" s="61"/>
    </row>
    <row r="825" spans="5:6">
      <c r="E825" s="61"/>
      <c r="F825" s="61"/>
    </row>
    <row r="826" spans="5:6">
      <c r="E826" s="61"/>
      <c r="F826" s="61"/>
    </row>
    <row r="827" spans="5:6">
      <c r="E827" s="61"/>
      <c r="F827" s="61"/>
    </row>
    <row r="828" spans="5:6">
      <c r="E828" s="61"/>
      <c r="F828" s="61"/>
    </row>
    <row r="829" spans="5:6">
      <c r="E829" s="61"/>
      <c r="F829" s="61"/>
    </row>
    <row r="830" spans="5:6">
      <c r="E830" s="61"/>
      <c r="F830" s="61"/>
    </row>
    <row r="831" spans="5:6">
      <c r="E831" s="61"/>
      <c r="F831" s="61"/>
    </row>
    <row r="832" spans="5:6">
      <c r="E832" s="61"/>
      <c r="F832" s="61"/>
    </row>
    <row r="833" spans="5:6">
      <c r="E833" s="61"/>
      <c r="F833" s="61"/>
    </row>
    <row r="834" spans="5:6">
      <c r="E834" s="61"/>
      <c r="F834" s="61"/>
    </row>
    <row r="835" spans="5:6">
      <c r="E835" s="61"/>
      <c r="F835" s="61"/>
    </row>
    <row r="836" spans="5:6">
      <c r="E836" s="61"/>
      <c r="F836" s="61"/>
    </row>
    <row r="837" spans="5:6">
      <c r="E837" s="61"/>
      <c r="F837" s="61"/>
    </row>
    <row r="838" spans="5:6">
      <c r="E838" s="61"/>
      <c r="F838" s="61"/>
    </row>
    <row r="839" spans="5:6">
      <c r="E839" s="61"/>
      <c r="F839" s="61"/>
    </row>
    <row r="840" spans="5:6">
      <c r="E840" s="61"/>
      <c r="F840" s="61"/>
    </row>
    <row r="841" spans="5:6">
      <c r="E841" s="61"/>
      <c r="F841" s="61"/>
    </row>
    <row r="842" spans="5:6">
      <c r="E842" s="61"/>
      <c r="F842" s="61"/>
    </row>
    <row r="843" spans="5:6">
      <c r="E843" s="61"/>
      <c r="F843" s="61"/>
    </row>
    <row r="844" spans="5:6">
      <c r="E844" s="61"/>
      <c r="F844" s="61"/>
    </row>
    <row r="845" spans="5:6">
      <c r="E845" s="61"/>
      <c r="F845" s="61"/>
    </row>
    <row r="846" spans="5:6">
      <c r="E846" s="61"/>
      <c r="F846" s="61"/>
    </row>
    <row r="847" spans="5:6">
      <c r="E847" s="61"/>
      <c r="F847" s="61"/>
    </row>
    <row r="848" spans="5:6">
      <c r="E848" s="61"/>
      <c r="F848" s="61"/>
    </row>
    <row r="849" spans="5:6">
      <c r="E849" s="61"/>
      <c r="F849" s="61"/>
    </row>
    <row r="850" spans="5:6">
      <c r="E850" s="61"/>
      <c r="F850" s="61"/>
    </row>
    <row r="851" spans="5:6">
      <c r="E851" s="61"/>
      <c r="F851" s="61"/>
    </row>
    <row r="852" spans="5:6">
      <c r="E852" s="61"/>
      <c r="F852" s="61"/>
    </row>
    <row r="853" spans="5:6">
      <c r="E853" s="61"/>
      <c r="F853" s="61"/>
    </row>
    <row r="854" spans="5:6">
      <c r="E854" s="61"/>
      <c r="F854" s="61"/>
    </row>
    <row r="855" spans="5:6">
      <c r="E855" s="61"/>
      <c r="F855" s="61"/>
    </row>
    <row r="856" spans="5:6">
      <c r="E856" s="61"/>
      <c r="F856" s="61"/>
    </row>
    <row r="857" spans="5:6">
      <c r="E857" s="61"/>
      <c r="F857" s="61"/>
    </row>
    <row r="858" spans="5:6">
      <c r="E858" s="61"/>
      <c r="F858" s="61"/>
    </row>
    <row r="859" spans="5:6">
      <c r="E859" s="61"/>
      <c r="F859" s="61"/>
    </row>
    <row r="860" spans="5:6">
      <c r="E860" s="61"/>
      <c r="F860" s="61"/>
    </row>
    <row r="861" spans="5:6">
      <c r="E861" s="61"/>
      <c r="F861" s="61"/>
    </row>
    <row r="862" spans="5:6">
      <c r="E862" s="61"/>
      <c r="F862" s="61"/>
    </row>
    <row r="863" spans="5:6">
      <c r="E863" s="61"/>
      <c r="F863" s="61"/>
    </row>
    <row r="864" spans="5:6">
      <c r="E864" s="61"/>
      <c r="F864" s="61"/>
    </row>
    <row r="865" spans="5:6">
      <c r="E865" s="61"/>
      <c r="F865" s="61"/>
    </row>
    <row r="866" spans="5:6">
      <c r="E866" s="61"/>
      <c r="F866" s="61"/>
    </row>
    <row r="867" spans="5:6">
      <c r="E867" s="61"/>
      <c r="F867" s="61"/>
    </row>
    <row r="868" spans="5:6">
      <c r="E868" s="61"/>
      <c r="F868" s="61"/>
    </row>
    <row r="869" spans="5:6">
      <c r="E869" s="61"/>
      <c r="F869" s="61"/>
    </row>
    <row r="870" spans="5:6">
      <c r="E870" s="61"/>
      <c r="F870" s="61"/>
    </row>
    <row r="871" spans="5:6">
      <c r="E871" s="61"/>
      <c r="F871" s="61"/>
    </row>
    <row r="872" spans="5:6">
      <c r="E872" s="61"/>
      <c r="F872" s="61"/>
    </row>
    <row r="873" spans="5:6">
      <c r="E873" s="61"/>
      <c r="F873" s="61"/>
    </row>
    <row r="874" spans="5:6">
      <c r="E874" s="61"/>
      <c r="F874" s="61"/>
    </row>
    <row r="875" spans="5:6">
      <c r="E875" s="61"/>
      <c r="F875" s="61"/>
    </row>
    <row r="876" spans="5:6">
      <c r="E876" s="61"/>
      <c r="F876" s="61"/>
    </row>
    <row r="877" spans="5:6">
      <c r="E877" s="61"/>
      <c r="F877" s="61"/>
    </row>
    <row r="878" spans="5:6">
      <c r="E878" s="61"/>
      <c r="F878" s="61"/>
    </row>
    <row r="879" spans="5:6">
      <c r="E879" s="61"/>
      <c r="F879" s="61"/>
    </row>
    <row r="880" spans="5:6">
      <c r="E880" s="61"/>
      <c r="F880" s="61"/>
    </row>
    <row r="881" spans="5:6">
      <c r="E881" s="61"/>
      <c r="F881" s="61"/>
    </row>
    <row r="882" spans="5:6">
      <c r="E882" s="61"/>
      <c r="F882" s="61"/>
    </row>
    <row r="883" spans="5:6">
      <c r="E883" s="61"/>
      <c r="F883" s="61"/>
    </row>
    <row r="884" spans="5:6">
      <c r="E884" s="61"/>
      <c r="F884" s="61"/>
    </row>
    <row r="885" spans="5:6">
      <c r="E885" s="61"/>
      <c r="F885" s="61"/>
    </row>
    <row r="886" spans="5:6">
      <c r="E886" s="61"/>
      <c r="F886" s="61"/>
    </row>
    <row r="887" spans="5:6">
      <c r="E887" s="61"/>
      <c r="F887" s="61"/>
    </row>
    <row r="888" spans="5:6">
      <c r="E888" s="61"/>
      <c r="F888" s="61"/>
    </row>
    <row r="889" spans="5:6">
      <c r="E889" s="61"/>
      <c r="F889" s="61"/>
    </row>
    <row r="890" spans="5:6">
      <c r="E890" s="61"/>
      <c r="F890" s="61"/>
    </row>
    <row r="891" spans="5:6">
      <c r="E891" s="61"/>
      <c r="F891" s="61"/>
    </row>
    <row r="892" spans="5:6">
      <c r="E892" s="61"/>
      <c r="F892" s="61"/>
    </row>
    <row r="893" spans="5:6">
      <c r="E893" s="61"/>
      <c r="F893" s="61"/>
    </row>
    <row r="894" spans="5:6">
      <c r="E894" s="61"/>
      <c r="F894" s="61"/>
    </row>
    <row r="895" spans="5:6">
      <c r="E895" s="61"/>
      <c r="F895" s="61"/>
    </row>
    <row r="896" spans="5:6">
      <c r="E896" s="61"/>
      <c r="F896" s="61"/>
    </row>
    <row r="897" spans="5:6">
      <c r="E897" s="61"/>
      <c r="F897" s="61"/>
    </row>
    <row r="898" spans="5:6">
      <c r="E898" s="61"/>
      <c r="F898" s="61"/>
    </row>
    <row r="899" spans="5:6">
      <c r="E899" s="61"/>
      <c r="F899" s="61"/>
    </row>
    <row r="900" spans="5:6">
      <c r="E900" s="61"/>
      <c r="F900" s="61"/>
    </row>
    <row r="901" spans="5:6">
      <c r="E901" s="61"/>
      <c r="F901" s="61"/>
    </row>
    <row r="902" spans="5:6">
      <c r="E902" s="61"/>
      <c r="F902" s="61"/>
    </row>
    <row r="903" spans="5:6">
      <c r="E903" s="61"/>
      <c r="F903" s="61"/>
    </row>
    <row r="904" spans="5:6">
      <c r="E904" s="61"/>
      <c r="F904" s="61"/>
    </row>
    <row r="905" spans="5:6">
      <c r="E905" s="61"/>
      <c r="F905" s="61"/>
    </row>
    <row r="906" spans="5:6">
      <c r="E906" s="61"/>
      <c r="F906" s="61"/>
    </row>
    <row r="907" spans="5:6">
      <c r="E907" s="61"/>
      <c r="F907" s="61"/>
    </row>
    <row r="908" spans="5:6">
      <c r="E908" s="61"/>
      <c r="F908" s="61"/>
    </row>
    <row r="909" spans="5:6">
      <c r="E909" s="61"/>
      <c r="F909" s="61"/>
    </row>
    <row r="910" spans="5:6">
      <c r="E910" s="61"/>
      <c r="F910" s="61"/>
    </row>
    <row r="911" spans="5:6">
      <c r="E911" s="61"/>
      <c r="F911" s="61"/>
    </row>
    <row r="912" spans="5:6">
      <c r="E912" s="61"/>
      <c r="F912" s="61"/>
    </row>
    <row r="913" spans="5:6">
      <c r="E913" s="61"/>
      <c r="F913" s="61"/>
    </row>
    <row r="914" spans="5:6">
      <c r="E914" s="61"/>
      <c r="F914" s="61"/>
    </row>
    <row r="915" spans="5:6">
      <c r="E915" s="61"/>
      <c r="F915" s="61"/>
    </row>
    <row r="916" spans="5:6">
      <c r="E916" s="61"/>
      <c r="F916" s="61"/>
    </row>
    <row r="917" spans="5:6">
      <c r="E917" s="61"/>
      <c r="F917" s="61"/>
    </row>
    <row r="918" spans="5:6">
      <c r="E918" s="61"/>
      <c r="F918" s="61"/>
    </row>
    <row r="919" spans="5:6">
      <c r="E919" s="61"/>
      <c r="F919" s="61"/>
    </row>
    <row r="920" spans="5:6">
      <c r="E920" s="61"/>
      <c r="F920" s="61"/>
    </row>
    <row r="921" spans="5:6">
      <c r="E921" s="61"/>
      <c r="F921" s="61"/>
    </row>
    <row r="922" spans="5:6">
      <c r="E922" s="61"/>
      <c r="F922" s="61"/>
    </row>
    <row r="923" spans="5:6">
      <c r="E923" s="61"/>
      <c r="F923" s="61"/>
    </row>
    <row r="924" spans="5:6">
      <c r="E924" s="61"/>
      <c r="F924" s="61"/>
    </row>
    <row r="925" spans="5:6">
      <c r="E925" s="61"/>
      <c r="F925" s="61"/>
    </row>
    <row r="926" spans="5:6">
      <c r="E926" s="61"/>
      <c r="F926" s="61"/>
    </row>
    <row r="927" spans="5:6">
      <c r="E927" s="61"/>
      <c r="F927" s="61"/>
    </row>
    <row r="928" spans="5:6">
      <c r="E928" s="61"/>
      <c r="F928" s="61"/>
    </row>
    <row r="929" spans="5:6">
      <c r="E929" s="61"/>
      <c r="F929" s="61"/>
    </row>
    <row r="930" spans="5:6">
      <c r="E930" s="61"/>
      <c r="F930" s="61"/>
    </row>
    <row r="931" spans="5:6">
      <c r="E931" s="61"/>
      <c r="F931" s="61"/>
    </row>
    <row r="932" spans="5:6">
      <c r="E932" s="61"/>
      <c r="F932" s="61"/>
    </row>
    <row r="933" spans="5:6">
      <c r="E933" s="61"/>
      <c r="F933" s="61"/>
    </row>
    <row r="934" spans="5:6">
      <c r="E934" s="61"/>
      <c r="F934" s="61"/>
    </row>
    <row r="935" spans="5:6">
      <c r="E935" s="61"/>
      <c r="F935" s="61"/>
    </row>
    <row r="936" spans="5:6">
      <c r="E936" s="61"/>
      <c r="F936" s="61"/>
    </row>
    <row r="937" spans="5:6">
      <c r="E937" s="61"/>
      <c r="F937" s="61"/>
    </row>
    <row r="938" spans="5:6">
      <c r="E938" s="61"/>
      <c r="F938" s="61"/>
    </row>
    <row r="939" spans="5:6">
      <c r="E939" s="61"/>
      <c r="F939" s="61"/>
    </row>
    <row r="940" spans="5:6">
      <c r="E940" s="61"/>
      <c r="F940" s="61"/>
    </row>
    <row r="941" spans="5:6">
      <c r="E941" s="61"/>
      <c r="F941" s="61"/>
    </row>
    <row r="942" spans="5:6">
      <c r="E942" s="61"/>
      <c r="F942" s="61"/>
    </row>
    <row r="943" spans="5:6">
      <c r="E943" s="61"/>
      <c r="F943" s="61"/>
    </row>
    <row r="944" spans="5:6">
      <c r="E944" s="61"/>
      <c r="F944" s="61"/>
    </row>
    <row r="945" spans="5:6">
      <c r="E945" s="61"/>
      <c r="F945" s="61"/>
    </row>
    <row r="946" spans="5:6">
      <c r="E946" s="61"/>
      <c r="F946" s="61"/>
    </row>
    <row r="947" spans="5:6">
      <c r="E947" s="61"/>
      <c r="F947" s="61"/>
    </row>
    <row r="948" spans="5:6">
      <c r="E948" s="61"/>
      <c r="F948" s="61"/>
    </row>
    <row r="949" spans="5:6">
      <c r="E949" s="61"/>
      <c r="F949" s="61"/>
    </row>
    <row r="950" spans="5:6">
      <c r="E950" s="61"/>
      <c r="F950" s="61"/>
    </row>
    <row r="951" spans="5:6">
      <c r="E951" s="61"/>
      <c r="F951" s="61"/>
    </row>
    <row r="952" spans="5:6">
      <c r="E952" s="61"/>
      <c r="F952" s="61"/>
    </row>
    <row r="953" spans="5:6">
      <c r="E953" s="61"/>
      <c r="F953" s="61"/>
    </row>
    <row r="954" spans="5:6">
      <c r="E954" s="61"/>
      <c r="F954" s="61"/>
    </row>
    <row r="955" spans="5:6">
      <c r="E955" s="61"/>
      <c r="F955" s="61"/>
    </row>
    <row r="956" spans="5:6">
      <c r="E956" s="61"/>
      <c r="F956" s="61"/>
    </row>
    <row r="957" spans="5:6">
      <c r="E957" s="61"/>
      <c r="F957" s="61"/>
    </row>
    <row r="958" spans="5:6">
      <c r="E958" s="61"/>
      <c r="F958" s="61"/>
    </row>
    <row r="959" spans="5:6">
      <c r="E959" s="61"/>
      <c r="F959" s="61"/>
    </row>
    <row r="960" spans="5:6">
      <c r="E960" s="61"/>
      <c r="F960" s="61"/>
    </row>
    <row r="961" spans="5:6">
      <c r="E961" s="61"/>
      <c r="F961" s="61"/>
    </row>
    <row r="962" spans="5:6">
      <c r="E962" s="61"/>
      <c r="F962" s="61"/>
    </row>
    <row r="963" spans="5:6">
      <c r="E963" s="61"/>
      <c r="F963" s="61"/>
    </row>
    <row r="964" spans="5:6">
      <c r="E964" s="61"/>
      <c r="F964" s="61"/>
    </row>
    <row r="965" spans="5:6">
      <c r="E965" s="61"/>
      <c r="F965" s="61"/>
    </row>
    <row r="966" spans="5:6">
      <c r="E966" s="61"/>
      <c r="F966" s="61"/>
    </row>
    <row r="967" spans="5:6">
      <c r="E967" s="61"/>
      <c r="F967" s="61"/>
    </row>
    <row r="968" spans="5:6">
      <c r="E968" s="61"/>
      <c r="F968" s="61"/>
    </row>
    <row r="969" spans="5:6">
      <c r="E969" s="61"/>
      <c r="F969" s="61"/>
    </row>
    <row r="970" spans="5:6">
      <c r="E970" s="61"/>
      <c r="F970" s="61"/>
    </row>
    <row r="971" spans="5:6">
      <c r="E971" s="61"/>
      <c r="F971" s="61"/>
    </row>
    <row r="972" spans="5:6">
      <c r="E972" s="61"/>
      <c r="F972" s="61"/>
    </row>
    <row r="973" spans="5:6">
      <c r="E973" s="61"/>
      <c r="F973" s="61"/>
    </row>
    <row r="974" spans="5:6">
      <c r="E974" s="61"/>
      <c r="F974" s="61"/>
    </row>
    <row r="975" spans="5:6">
      <c r="E975" s="61"/>
      <c r="F975" s="61"/>
    </row>
    <row r="976" spans="5:6">
      <c r="E976" s="61"/>
      <c r="F976" s="61"/>
    </row>
    <row r="977" spans="5:6">
      <c r="E977" s="61"/>
      <c r="F977" s="61"/>
    </row>
    <row r="978" spans="5:6">
      <c r="E978" s="61"/>
      <c r="F978" s="61"/>
    </row>
    <row r="979" spans="5:6">
      <c r="E979" s="61"/>
      <c r="F979" s="61"/>
    </row>
    <row r="980" spans="5:6">
      <c r="E980" s="61"/>
      <c r="F980" s="61"/>
    </row>
    <row r="981" spans="5:6">
      <c r="E981" s="61"/>
      <c r="F981" s="61"/>
    </row>
    <row r="982" spans="5:6">
      <c r="E982" s="61"/>
      <c r="F982" s="61"/>
    </row>
    <row r="983" spans="5:6">
      <c r="E983" s="61"/>
      <c r="F983" s="61"/>
    </row>
    <row r="984" spans="5:6">
      <c r="E984" s="61"/>
      <c r="F984" s="61"/>
    </row>
    <row r="985" spans="5:6">
      <c r="E985" s="61"/>
      <c r="F985" s="61"/>
    </row>
    <row r="986" spans="5:6">
      <c r="E986" s="61"/>
      <c r="F986" s="61"/>
    </row>
    <row r="987" spans="5:6">
      <c r="E987" s="61"/>
      <c r="F987" s="61"/>
    </row>
    <row r="988" spans="5:6">
      <c r="E988" s="61"/>
      <c r="F988" s="61"/>
    </row>
    <row r="989" spans="5:6">
      <c r="E989" s="61"/>
      <c r="F989" s="61"/>
    </row>
    <row r="990" spans="5:6">
      <c r="E990" s="61"/>
      <c r="F990" s="61"/>
    </row>
    <row r="991" spans="5:6">
      <c r="E991" s="61"/>
      <c r="F991" s="61"/>
    </row>
    <row r="992" spans="5:6">
      <c r="E992" s="61"/>
      <c r="F992" s="61"/>
    </row>
    <row r="993" spans="5:6">
      <c r="E993" s="61"/>
      <c r="F993" s="61"/>
    </row>
    <row r="994" spans="5:6">
      <c r="E994" s="61"/>
      <c r="F994" s="61"/>
    </row>
    <row r="995" spans="5:6">
      <c r="E995" s="61"/>
      <c r="F995" s="61"/>
    </row>
    <row r="996" spans="5:6">
      <c r="E996" s="61"/>
      <c r="F996" s="61"/>
    </row>
    <row r="997" spans="5:6">
      <c r="E997" s="61"/>
      <c r="F997" s="61"/>
    </row>
    <row r="998" spans="5:6">
      <c r="E998" s="61"/>
      <c r="F998" s="61"/>
    </row>
    <row r="999" spans="5:6">
      <c r="E999" s="61"/>
      <c r="F999" s="61"/>
    </row>
    <row r="1000" spans="5:6">
      <c r="E1000" s="61"/>
      <c r="F1000" s="61"/>
    </row>
    <row r="1001" spans="5:6">
      <c r="E1001" s="61"/>
      <c r="F1001" s="61"/>
    </row>
    <row r="1002" spans="5:6">
      <c r="E1002" s="61"/>
      <c r="F1002" s="61"/>
    </row>
    <row r="1003" spans="5:6">
      <c r="E1003" s="61"/>
      <c r="F1003" s="61"/>
    </row>
    <row r="1004" spans="5:6">
      <c r="E1004" s="61"/>
      <c r="F1004" s="61"/>
    </row>
    <row r="1005" spans="5:6">
      <c r="E1005" s="61"/>
      <c r="F1005" s="61"/>
    </row>
    <row r="1006" spans="5:6">
      <c r="E1006" s="61"/>
      <c r="F1006" s="61"/>
    </row>
    <row r="1007" spans="5:6">
      <c r="E1007" s="61"/>
      <c r="F1007" s="61"/>
    </row>
    <row r="1008" spans="5:6">
      <c r="E1008" s="61"/>
      <c r="F1008" s="61"/>
    </row>
    <row r="1009" spans="5:6">
      <c r="E1009" s="61"/>
      <c r="F1009" s="61"/>
    </row>
    <row r="1010" spans="5:6">
      <c r="E1010" s="61"/>
      <c r="F1010" s="61"/>
    </row>
    <row r="1011" spans="5:6">
      <c r="E1011" s="61"/>
      <c r="F1011" s="61"/>
    </row>
    <row r="1012" spans="5:6">
      <c r="E1012" s="61"/>
      <c r="F1012" s="61"/>
    </row>
    <row r="1013" spans="5:6">
      <c r="E1013" s="61"/>
      <c r="F1013" s="61"/>
    </row>
    <row r="1014" spans="5:6">
      <c r="E1014" s="61"/>
      <c r="F1014" s="61"/>
    </row>
    <row r="1015" spans="5:6">
      <c r="E1015" s="61"/>
      <c r="F1015" s="61"/>
    </row>
    <row r="1016" spans="5:6">
      <c r="E1016" s="61"/>
      <c r="F1016" s="61"/>
    </row>
    <row r="1017" spans="5:6">
      <c r="E1017" s="61"/>
      <c r="F1017" s="61"/>
    </row>
    <row r="1018" spans="5:6">
      <c r="E1018" s="61"/>
      <c r="F1018" s="61"/>
    </row>
    <row r="1019" spans="5:6">
      <c r="E1019" s="61"/>
      <c r="F1019" s="61"/>
    </row>
    <row r="1020" spans="5:6">
      <c r="E1020" s="61"/>
      <c r="F1020" s="61"/>
    </row>
    <row r="1021" spans="5:6">
      <c r="E1021" s="61"/>
      <c r="F1021" s="61"/>
    </row>
    <row r="1022" spans="5:6">
      <c r="E1022" s="61"/>
      <c r="F1022" s="61"/>
    </row>
    <row r="1023" spans="5:6">
      <c r="E1023" s="61"/>
      <c r="F1023" s="61"/>
    </row>
    <row r="1024" spans="5:6">
      <c r="E1024" s="61"/>
      <c r="F1024" s="61"/>
    </row>
    <row r="1025" spans="5:6">
      <c r="E1025" s="61"/>
      <c r="F1025" s="61"/>
    </row>
    <row r="1026" spans="5:6">
      <c r="E1026" s="61"/>
      <c r="F1026" s="61"/>
    </row>
    <row r="1027" spans="5:6">
      <c r="E1027" s="61"/>
      <c r="F1027" s="61"/>
    </row>
    <row r="1028" spans="5:6">
      <c r="E1028" s="61"/>
      <c r="F1028" s="61"/>
    </row>
    <row r="1029" spans="5:6">
      <c r="E1029" s="61"/>
      <c r="F1029" s="61"/>
    </row>
    <row r="1030" spans="5:6">
      <c r="E1030" s="61"/>
      <c r="F1030" s="61"/>
    </row>
    <row r="1031" spans="5:6">
      <c r="E1031" s="61"/>
      <c r="F1031" s="61"/>
    </row>
    <row r="1032" spans="5:6">
      <c r="E1032" s="61"/>
      <c r="F1032" s="61"/>
    </row>
    <row r="1033" spans="5:6">
      <c r="E1033" s="61"/>
      <c r="F1033" s="61"/>
    </row>
    <row r="1034" spans="5:6">
      <c r="E1034" s="61"/>
      <c r="F1034" s="61"/>
    </row>
    <row r="1035" spans="5:6">
      <c r="E1035" s="61"/>
      <c r="F1035" s="61"/>
    </row>
    <row r="1036" spans="5:6">
      <c r="E1036" s="61"/>
      <c r="F1036" s="61"/>
    </row>
    <row r="1037" spans="5:6">
      <c r="E1037" s="61"/>
      <c r="F1037" s="61"/>
    </row>
    <row r="1038" spans="5:6">
      <c r="E1038" s="61"/>
      <c r="F1038" s="61"/>
    </row>
    <row r="1039" spans="5:6">
      <c r="E1039" s="61"/>
      <c r="F1039" s="61"/>
    </row>
    <row r="1040" spans="5:6">
      <c r="E1040" s="61"/>
      <c r="F1040" s="61"/>
    </row>
    <row r="1041" spans="5:6">
      <c r="E1041" s="61"/>
      <c r="F1041" s="61"/>
    </row>
    <row r="1042" spans="5:6">
      <c r="E1042" s="61"/>
      <c r="F1042" s="61"/>
    </row>
    <row r="1043" spans="5:6">
      <c r="E1043" s="61"/>
      <c r="F1043" s="61"/>
    </row>
    <row r="1044" spans="5:6">
      <c r="E1044" s="61"/>
      <c r="F1044" s="61"/>
    </row>
    <row r="1045" spans="5:6">
      <c r="E1045" s="61"/>
      <c r="F1045" s="61"/>
    </row>
    <row r="1046" spans="5:6">
      <c r="E1046" s="61"/>
      <c r="F1046" s="61"/>
    </row>
    <row r="1047" spans="5:6">
      <c r="E1047" s="61"/>
      <c r="F1047" s="61"/>
    </row>
    <row r="1048" spans="5:6">
      <c r="E1048" s="61"/>
      <c r="F1048" s="61"/>
    </row>
  </sheetData>
  <phoneticPr fontId="0" type="noConversion"/>
  <hyperlinks>
    <hyperlink ref="L221" r:id="rId1"/>
  </hyperlinks>
  <pageMargins left="0.75" right="0.75" top="1" bottom="1" header="0.5" footer="0.5"/>
  <pageSetup orientation="landscape" r:id="rId2"/>
  <headerFooter alignWithMargins="0"/>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3</vt:i4>
      </vt:variant>
    </vt:vector>
  </HeadingPairs>
  <TitlesOfParts>
    <vt:vector size="20" baseType="lpstr">
      <vt:lpstr>Changes from Jan 2012</vt:lpstr>
      <vt:lpstr>CROP FACTORS</vt:lpstr>
      <vt:lpstr>FactorClasses</vt:lpstr>
      <vt:lpstr>SQIndex</vt:lpstr>
      <vt:lpstr>AGG</vt:lpstr>
      <vt:lpstr>AWC</vt:lpstr>
      <vt:lpstr>BD</vt:lpstr>
      <vt:lpstr>BG</vt:lpstr>
      <vt:lpstr>EC</vt:lpstr>
      <vt:lpstr>EX-K</vt:lpstr>
      <vt:lpstr>MBC</vt:lpstr>
      <vt:lpstr>pH</vt:lpstr>
      <vt:lpstr>PMN</vt:lpstr>
      <vt:lpstr>soilP</vt:lpstr>
      <vt:lpstr>SAR</vt:lpstr>
      <vt:lpstr>SOC</vt:lpstr>
      <vt:lpstr>WFPS</vt:lpstr>
      <vt:lpstr>'CROP FACTORS'!Print_Area</vt:lpstr>
      <vt:lpstr>SQIndex!Print_Area</vt:lpstr>
      <vt:lpstr>WFPS!Print_Area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Andrews</dc:creator>
  <cp:lastModifiedBy>Douglas L. Karlen</cp:lastModifiedBy>
  <cp:lastPrinted>2013-04-23T21:36:59Z</cp:lastPrinted>
  <dcterms:created xsi:type="dcterms:W3CDTF">2001-03-16T23:11:02Z</dcterms:created>
  <dcterms:modified xsi:type="dcterms:W3CDTF">2016-10-18T13:47:03Z</dcterms:modified>
</cp:coreProperties>
</file>