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g942\Downloads\"/>
    </mc:Choice>
  </mc:AlternateContent>
  <xr:revisionPtr revIDLastSave="0" documentId="13_ncr:1_{0A950D85-0587-423E-8D6B-524E9CC37859}" xr6:coauthVersionLast="47" xr6:coauthVersionMax="47" xr10:uidLastSave="{00000000-0000-0000-0000-000000000000}"/>
  <bookViews>
    <workbookView xWindow="-108" yWindow="-108" windowWidth="30936" windowHeight="16896" tabRatio="792" xr2:uid="{94655CBB-0835-40D6-A21A-801943409FD4}"/>
  </bookViews>
  <sheets>
    <sheet name="control" sheetId="1" r:id="rId1"/>
    <sheet name="k1" sheetId="2" r:id="rId2"/>
    <sheet name="k2" sheetId="5" r:id="rId3"/>
    <sheet name="k3" sheetId="6" r:id="rId4"/>
    <sheet name="layout" sheetId="17" r:id="rId5"/>
    <sheet name="Sellmeier" sheetId="4" r:id="rId6"/>
    <sheet name="Calculator" sheetId="10" r:id="rId7"/>
  </sheets>
  <definedNames>
    <definedName name="solver_adj" localSheetId="0" hidden="1">control!$J$8:$J$9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control!$P$49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1" i="6" l="1"/>
  <c r="M61" i="6"/>
  <c r="J61" i="6"/>
  <c r="O60" i="6"/>
  <c r="J60" i="6" s="1"/>
  <c r="M60" i="6"/>
  <c r="O61" i="2"/>
  <c r="M61" i="2"/>
  <c r="J61" i="2"/>
  <c r="O60" i="2"/>
  <c r="J60" i="2" s="1"/>
  <c r="M60" i="2"/>
  <c r="M61" i="5"/>
  <c r="M60" i="5"/>
  <c r="I5" i="2"/>
  <c r="I6" i="2"/>
  <c r="I7" i="2"/>
  <c r="I8" i="2"/>
  <c r="I9" i="2"/>
  <c r="I10" i="2"/>
  <c r="I58" i="5"/>
  <c r="J58" i="5"/>
  <c r="L60" i="6" a="1"/>
  <c r="K60" i="6"/>
  <c r="L61" i="6" a="1"/>
  <c r="K61" i="6" a="1"/>
  <c r="K60" i="2"/>
  <c r="K61" i="2" a="1"/>
  <c r="L61" i="2" a="1"/>
  <c r="L60" i="2" a="1"/>
  <c r="K61" i="6" l="1"/>
  <c r="L61" i="6"/>
  <c r="L60" i="6"/>
  <c r="N60" i="6" s="1"/>
  <c r="L60" i="2"/>
  <c r="N60" i="2" s="1"/>
  <c r="L61" i="2"/>
  <c r="K61" i="2"/>
  <c r="N61" i="6" l="1"/>
  <c r="N61" i="2"/>
  <c r="L57" i="6" l="1"/>
  <c r="K57" i="6"/>
  <c r="L56" i="6"/>
  <c r="K56" i="6"/>
  <c r="L55" i="6"/>
  <c r="K55" i="6"/>
  <c r="L54" i="6"/>
  <c r="K54" i="6"/>
  <c r="L53" i="6"/>
  <c r="K53" i="6"/>
  <c r="L52" i="6"/>
  <c r="K52" i="6"/>
  <c r="L51" i="6"/>
  <c r="K51" i="6"/>
  <c r="L50" i="6"/>
  <c r="K50" i="6"/>
  <c r="L49" i="6"/>
  <c r="K49" i="6"/>
  <c r="L48" i="6"/>
  <c r="K48" i="6"/>
  <c r="L47" i="6"/>
  <c r="K47" i="6"/>
  <c r="L43" i="6"/>
  <c r="K43" i="6"/>
  <c r="L42" i="6"/>
  <c r="K42" i="6"/>
  <c r="L41" i="6"/>
  <c r="K41" i="6"/>
  <c r="L40" i="6"/>
  <c r="K40" i="6"/>
  <c r="L39" i="6"/>
  <c r="K39" i="6"/>
  <c r="L38" i="6"/>
  <c r="K38" i="6"/>
  <c r="L37" i="6"/>
  <c r="K37" i="6"/>
  <c r="L36" i="6"/>
  <c r="K36" i="6"/>
  <c r="L35" i="6"/>
  <c r="K35" i="6"/>
  <c r="L34" i="6"/>
  <c r="K34" i="6"/>
  <c r="L33" i="6"/>
  <c r="K33" i="6"/>
  <c r="L29" i="6"/>
  <c r="K29" i="6"/>
  <c r="L28" i="6"/>
  <c r="K28" i="6"/>
  <c r="L27" i="6"/>
  <c r="K27" i="6"/>
  <c r="L26" i="6"/>
  <c r="K26" i="6"/>
  <c r="L25" i="6"/>
  <c r="K25" i="6"/>
  <c r="L24" i="6"/>
  <c r="K24" i="6"/>
  <c r="L23" i="6"/>
  <c r="K23" i="6"/>
  <c r="L22" i="6"/>
  <c r="K22" i="6"/>
  <c r="L21" i="6"/>
  <c r="K21" i="6"/>
  <c r="L20" i="6"/>
  <c r="K20" i="6"/>
  <c r="L19" i="6"/>
  <c r="K19" i="6"/>
  <c r="L15" i="6"/>
  <c r="K15" i="6"/>
  <c r="L14" i="6"/>
  <c r="K14" i="6"/>
  <c r="L13" i="6"/>
  <c r="K13" i="6"/>
  <c r="L12" i="6"/>
  <c r="K12" i="6"/>
  <c r="L11" i="6"/>
  <c r="K11" i="6"/>
  <c r="L10" i="6"/>
  <c r="K10" i="6"/>
  <c r="L9" i="6"/>
  <c r="K9" i="6"/>
  <c r="L8" i="6"/>
  <c r="K8" i="6"/>
  <c r="L7" i="6"/>
  <c r="K7" i="6"/>
  <c r="L6" i="6"/>
  <c r="K6" i="6"/>
  <c r="L5" i="6"/>
  <c r="K5" i="6"/>
  <c r="K66" i="2"/>
  <c r="K57" i="2"/>
  <c r="K56" i="2"/>
  <c r="K55" i="2"/>
  <c r="K54" i="2"/>
  <c r="K53" i="2"/>
  <c r="K52" i="2"/>
  <c r="K51" i="2"/>
  <c r="K50" i="2"/>
  <c r="K49" i="2"/>
  <c r="K48" i="2"/>
  <c r="K47" i="2"/>
  <c r="K43" i="2"/>
  <c r="K42" i="2"/>
  <c r="K41" i="2"/>
  <c r="K40" i="2"/>
  <c r="K39" i="2"/>
  <c r="K38" i="2"/>
  <c r="K37" i="2"/>
  <c r="K36" i="2"/>
  <c r="K35" i="2"/>
  <c r="K34" i="2"/>
  <c r="K33" i="2"/>
  <c r="K29" i="2"/>
  <c r="K28" i="2"/>
  <c r="K27" i="2"/>
  <c r="K26" i="2"/>
  <c r="K25" i="2"/>
  <c r="K24" i="2"/>
  <c r="K23" i="2"/>
  <c r="K22" i="2"/>
  <c r="K21" i="2"/>
  <c r="K20" i="2"/>
  <c r="K19" i="2"/>
  <c r="K15" i="2"/>
  <c r="K7" i="2"/>
  <c r="K8" i="2"/>
  <c r="K9" i="2"/>
  <c r="K10" i="2"/>
  <c r="K11" i="2"/>
  <c r="K12" i="2"/>
  <c r="K13" i="2"/>
  <c r="K14" i="2"/>
  <c r="K6" i="2"/>
  <c r="J66" i="6"/>
  <c r="I66" i="6"/>
  <c r="L66" i="6" s="1"/>
  <c r="J66" i="2"/>
  <c r="I66" i="2"/>
  <c r="J66" i="5"/>
  <c r="I66" i="5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C133" i="17"/>
  <c r="C134" i="17"/>
  <c r="C135" i="17"/>
  <c r="C136" i="17"/>
  <c r="C137" i="17"/>
  <c r="C138" i="17"/>
  <c r="C139" i="17"/>
  <c r="C140" i="17"/>
  <c r="C141" i="17"/>
  <c r="C142" i="17"/>
  <c r="C143" i="17"/>
  <c r="C144" i="17"/>
  <c r="C145" i="17"/>
  <c r="C146" i="17"/>
  <c r="C147" i="17"/>
  <c r="C148" i="17"/>
  <c r="C149" i="17"/>
  <c r="C150" i="17"/>
  <c r="C151" i="17"/>
  <c r="C152" i="17"/>
  <c r="C153" i="17"/>
  <c r="C154" i="17"/>
  <c r="C155" i="17"/>
  <c r="C156" i="17"/>
  <c r="C157" i="17"/>
  <c r="C158" i="17"/>
  <c r="C159" i="17"/>
  <c r="C160" i="17"/>
  <c r="C161" i="17"/>
  <c r="C162" i="17"/>
  <c r="C163" i="17"/>
  <c r="C164" i="17"/>
  <c r="C165" i="17"/>
  <c r="C166" i="17"/>
  <c r="C167" i="17"/>
  <c r="C168" i="17"/>
  <c r="C169" i="17"/>
  <c r="C170" i="17"/>
  <c r="C171" i="17"/>
  <c r="C172" i="17"/>
  <c r="C173" i="17"/>
  <c r="C174" i="17"/>
  <c r="C175" i="17"/>
  <c r="C176" i="17"/>
  <c r="C177" i="17"/>
  <c r="C178" i="17"/>
  <c r="C179" i="17"/>
  <c r="C180" i="17"/>
  <c r="C181" i="17"/>
  <c r="C182" i="17"/>
  <c r="C183" i="17"/>
  <c r="C184" i="17"/>
  <c r="C185" i="17"/>
  <c r="C186" i="17"/>
  <c r="C187" i="17"/>
  <c r="C188" i="17"/>
  <c r="C189" i="17"/>
  <c r="C190" i="17"/>
  <c r="C191" i="17"/>
  <c r="C192" i="17"/>
  <c r="C193" i="17"/>
  <c r="C194" i="17"/>
  <c r="C195" i="17"/>
  <c r="C196" i="17"/>
  <c r="C197" i="17"/>
  <c r="C198" i="17"/>
  <c r="C199" i="17"/>
  <c r="C200" i="17"/>
  <c r="C201" i="17"/>
  <c r="C202" i="17"/>
  <c r="C203" i="17"/>
  <c r="C204" i="17"/>
  <c r="C205" i="17"/>
  <c r="C206" i="17"/>
  <c r="C207" i="17"/>
  <c r="C208" i="17"/>
  <c r="C209" i="17"/>
  <c r="C210" i="17"/>
  <c r="C211" i="17"/>
  <c r="C212" i="17"/>
  <c r="C213" i="17"/>
  <c r="C214" i="17"/>
  <c r="C215" i="17"/>
  <c r="C216" i="17"/>
  <c r="C217" i="17"/>
  <c r="C218" i="17"/>
  <c r="C219" i="17"/>
  <c r="C220" i="17"/>
  <c r="C221" i="17"/>
  <c r="C222" i="17"/>
  <c r="C223" i="17"/>
  <c r="C224" i="17"/>
  <c r="C225" i="17"/>
  <c r="C226" i="17"/>
  <c r="C227" i="17"/>
  <c r="C228" i="17"/>
  <c r="C229" i="17"/>
  <c r="C230" i="17"/>
  <c r="C231" i="17"/>
  <c r="C232" i="17"/>
  <c r="C233" i="17"/>
  <c r="C234" i="17"/>
  <c r="C235" i="17"/>
  <c r="C236" i="17"/>
  <c r="C237" i="17"/>
  <c r="C238" i="17"/>
  <c r="C239" i="17"/>
  <c r="C240" i="17"/>
  <c r="C241" i="17"/>
  <c r="C242" i="17"/>
  <c r="C243" i="17"/>
  <c r="C244" i="17"/>
  <c r="C245" i="17"/>
  <c r="C246" i="17"/>
  <c r="C247" i="17"/>
  <c r="C248" i="17"/>
  <c r="C249" i="17"/>
  <c r="C250" i="17"/>
  <c r="C251" i="17"/>
  <c r="C252" i="17"/>
  <c r="C253" i="17"/>
  <c r="C254" i="17"/>
  <c r="C255" i="17"/>
  <c r="C256" i="17"/>
  <c r="C257" i="17"/>
  <c r="C258" i="17"/>
  <c r="C259" i="17"/>
  <c r="C260" i="17"/>
  <c r="C261" i="17"/>
  <c r="C262" i="17"/>
  <c r="C263" i="17"/>
  <c r="C264" i="17"/>
  <c r="C265" i="17"/>
  <c r="C266" i="17"/>
  <c r="C267" i="17"/>
  <c r="C268" i="17"/>
  <c r="C269" i="17"/>
  <c r="C270" i="17"/>
  <c r="C271" i="17"/>
  <c r="C272" i="17"/>
  <c r="C273" i="17"/>
  <c r="C274" i="17"/>
  <c r="C275" i="17"/>
  <c r="C276" i="17"/>
  <c r="C277" i="17"/>
  <c r="C278" i="17"/>
  <c r="C279" i="17"/>
  <c r="C280" i="17"/>
  <c r="C281" i="17"/>
  <c r="C282" i="17"/>
  <c r="C283" i="17"/>
  <c r="C284" i="17"/>
  <c r="C285" i="17"/>
  <c r="C286" i="17"/>
  <c r="C287" i="17"/>
  <c r="C288" i="17"/>
  <c r="C289" i="17"/>
  <c r="C290" i="17"/>
  <c r="C291" i="17"/>
  <c r="C292" i="17"/>
  <c r="C293" i="17"/>
  <c r="C294" i="17"/>
  <c r="C295" i="17"/>
  <c r="C296" i="17"/>
  <c r="C297" i="17"/>
  <c r="C298" i="17"/>
  <c r="C299" i="17"/>
  <c r="C300" i="17"/>
  <c r="C301" i="17"/>
  <c r="C302" i="17"/>
  <c r="C303" i="17"/>
  <c r="C304" i="17"/>
  <c r="C305" i="17"/>
  <c r="C306" i="17"/>
  <c r="C307" i="17"/>
  <c r="C308" i="17"/>
  <c r="C309" i="17"/>
  <c r="C310" i="17"/>
  <c r="C311" i="17"/>
  <c r="C312" i="17"/>
  <c r="C313" i="17"/>
  <c r="C314" i="17"/>
  <c r="C315" i="17"/>
  <c r="C316" i="17"/>
  <c r="C317" i="17"/>
  <c r="C318" i="17"/>
  <c r="C319" i="17"/>
  <c r="C320" i="17"/>
  <c r="C321" i="17"/>
  <c r="C322" i="17"/>
  <c r="C323" i="17"/>
  <c r="C324" i="17"/>
  <c r="C325" i="17"/>
  <c r="C326" i="17"/>
  <c r="C327" i="17"/>
  <c r="C328" i="17"/>
  <c r="C329" i="17"/>
  <c r="C330" i="17"/>
  <c r="C331" i="17"/>
  <c r="C332" i="17"/>
  <c r="C333" i="17"/>
  <c r="C334" i="17"/>
  <c r="C335" i="17"/>
  <c r="C336" i="17"/>
  <c r="C337" i="17"/>
  <c r="C338" i="17"/>
  <c r="C339" i="17"/>
  <c r="C340" i="17"/>
  <c r="C341" i="17"/>
  <c r="C342" i="17"/>
  <c r="C343" i="17"/>
  <c r="C344" i="17"/>
  <c r="C345" i="17"/>
  <c r="C346" i="17"/>
  <c r="C347" i="17"/>
  <c r="C348" i="17"/>
  <c r="C349" i="17"/>
  <c r="C350" i="17"/>
  <c r="C351" i="17"/>
  <c r="C352" i="17"/>
  <c r="C353" i="17"/>
  <c r="C354" i="17"/>
  <c r="C355" i="17"/>
  <c r="C356" i="17"/>
  <c r="C357" i="17"/>
  <c r="C358" i="17"/>
  <c r="C359" i="17"/>
  <c r="C360" i="17"/>
  <c r="C361" i="17"/>
  <c r="C362" i="17"/>
  <c r="C36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98" i="17"/>
  <c r="B99" i="17"/>
  <c r="B100" i="17"/>
  <c r="B101" i="17"/>
  <c r="B102" i="17"/>
  <c r="B103" i="17"/>
  <c r="B104" i="17"/>
  <c r="B105" i="17"/>
  <c r="B106" i="17"/>
  <c r="B107" i="17"/>
  <c r="B108" i="17"/>
  <c r="B109" i="17"/>
  <c r="B110" i="17"/>
  <c r="B111" i="17"/>
  <c r="B112" i="17"/>
  <c r="B113" i="17"/>
  <c r="B114" i="17"/>
  <c r="B115" i="17"/>
  <c r="B116" i="17"/>
  <c r="B117" i="17"/>
  <c r="B118" i="17"/>
  <c r="B119" i="17"/>
  <c r="B120" i="17"/>
  <c r="B121" i="17"/>
  <c r="B122" i="17"/>
  <c r="B123" i="17"/>
  <c r="B124" i="17"/>
  <c r="B125" i="17"/>
  <c r="B126" i="17"/>
  <c r="B127" i="17"/>
  <c r="B128" i="17"/>
  <c r="B129" i="17"/>
  <c r="B130" i="17"/>
  <c r="B131" i="17"/>
  <c r="B132" i="17"/>
  <c r="B133" i="17"/>
  <c r="B134" i="17"/>
  <c r="B135" i="17"/>
  <c r="B136" i="17"/>
  <c r="B137" i="17"/>
  <c r="B138" i="17"/>
  <c r="B139" i="17"/>
  <c r="B140" i="17"/>
  <c r="B141" i="17"/>
  <c r="B142" i="17"/>
  <c r="B143" i="17"/>
  <c r="B144" i="17"/>
  <c r="B145" i="17"/>
  <c r="B146" i="17"/>
  <c r="B147" i="17"/>
  <c r="B148" i="17"/>
  <c r="B149" i="17"/>
  <c r="B150" i="17"/>
  <c r="B151" i="17"/>
  <c r="B152" i="17"/>
  <c r="B153" i="17"/>
  <c r="B154" i="17"/>
  <c r="B155" i="17"/>
  <c r="B156" i="17"/>
  <c r="B157" i="17"/>
  <c r="B158" i="17"/>
  <c r="B159" i="17"/>
  <c r="B160" i="17"/>
  <c r="B161" i="17"/>
  <c r="B162" i="17"/>
  <c r="B163" i="17"/>
  <c r="B164" i="17"/>
  <c r="B165" i="17"/>
  <c r="B166" i="17"/>
  <c r="B167" i="17"/>
  <c r="B168" i="17"/>
  <c r="B169" i="17"/>
  <c r="B170" i="17"/>
  <c r="B171" i="17"/>
  <c r="B172" i="17"/>
  <c r="B173" i="17"/>
  <c r="B174" i="17"/>
  <c r="B175" i="17"/>
  <c r="B176" i="17"/>
  <c r="B177" i="17"/>
  <c r="B178" i="17"/>
  <c r="B179" i="17"/>
  <c r="B180" i="17"/>
  <c r="B181" i="17"/>
  <c r="B182" i="17"/>
  <c r="B183" i="17"/>
  <c r="B184" i="17"/>
  <c r="B185" i="17"/>
  <c r="B186" i="17"/>
  <c r="B187" i="17"/>
  <c r="B188" i="17"/>
  <c r="B189" i="17"/>
  <c r="B190" i="17"/>
  <c r="B191" i="17"/>
  <c r="B192" i="17"/>
  <c r="B193" i="17"/>
  <c r="B194" i="17"/>
  <c r="B195" i="17"/>
  <c r="B196" i="17"/>
  <c r="B197" i="17"/>
  <c r="B198" i="17"/>
  <c r="B199" i="17"/>
  <c r="B200" i="17"/>
  <c r="B201" i="17"/>
  <c r="B202" i="17"/>
  <c r="B203" i="17"/>
  <c r="B204" i="17"/>
  <c r="B205" i="17"/>
  <c r="B206" i="17"/>
  <c r="B207" i="17"/>
  <c r="B208" i="17"/>
  <c r="B209" i="17"/>
  <c r="B210" i="17"/>
  <c r="B211" i="17"/>
  <c r="B212" i="17"/>
  <c r="B213" i="17"/>
  <c r="B214" i="17"/>
  <c r="B215" i="17"/>
  <c r="B216" i="17"/>
  <c r="B217" i="17"/>
  <c r="B218" i="17"/>
  <c r="B219" i="17"/>
  <c r="B220" i="17"/>
  <c r="B221" i="17"/>
  <c r="B222" i="17"/>
  <c r="B223" i="17"/>
  <c r="B224" i="17"/>
  <c r="B225" i="17"/>
  <c r="B226" i="17"/>
  <c r="B227" i="17"/>
  <c r="B228" i="17"/>
  <c r="B229" i="17"/>
  <c r="B230" i="17"/>
  <c r="B231" i="17"/>
  <c r="B232" i="17"/>
  <c r="B233" i="17"/>
  <c r="B234" i="17"/>
  <c r="B235" i="17"/>
  <c r="B236" i="17"/>
  <c r="B237" i="17"/>
  <c r="B238" i="17"/>
  <c r="B239" i="17"/>
  <c r="B240" i="17"/>
  <c r="B241" i="17"/>
  <c r="B242" i="17"/>
  <c r="B243" i="17"/>
  <c r="B244" i="17"/>
  <c r="B245" i="17"/>
  <c r="B246" i="17"/>
  <c r="B247" i="17"/>
  <c r="B248" i="17"/>
  <c r="B249" i="17"/>
  <c r="B250" i="17"/>
  <c r="B251" i="17"/>
  <c r="B252" i="17"/>
  <c r="B253" i="17"/>
  <c r="B254" i="17"/>
  <c r="B255" i="17"/>
  <c r="B256" i="17"/>
  <c r="B257" i="17"/>
  <c r="B258" i="17"/>
  <c r="B259" i="17"/>
  <c r="B260" i="17"/>
  <c r="B261" i="17"/>
  <c r="B262" i="17"/>
  <c r="B263" i="17"/>
  <c r="B264" i="17"/>
  <c r="B265" i="17"/>
  <c r="B266" i="17"/>
  <c r="B267" i="17"/>
  <c r="B268" i="17"/>
  <c r="B269" i="17"/>
  <c r="B270" i="17"/>
  <c r="B271" i="17"/>
  <c r="B272" i="17"/>
  <c r="B273" i="17"/>
  <c r="B274" i="17"/>
  <c r="B275" i="17"/>
  <c r="B276" i="17"/>
  <c r="B277" i="17"/>
  <c r="B278" i="17"/>
  <c r="B279" i="17"/>
  <c r="B280" i="17"/>
  <c r="B281" i="17"/>
  <c r="B282" i="17"/>
  <c r="B283" i="17"/>
  <c r="B284" i="17"/>
  <c r="B285" i="17"/>
  <c r="B286" i="17"/>
  <c r="B287" i="17"/>
  <c r="B288" i="17"/>
  <c r="B289" i="17"/>
  <c r="B290" i="17"/>
  <c r="B291" i="17"/>
  <c r="B292" i="17"/>
  <c r="B293" i="17"/>
  <c r="B294" i="17"/>
  <c r="B295" i="17"/>
  <c r="B296" i="17"/>
  <c r="B297" i="17"/>
  <c r="B298" i="17"/>
  <c r="B299" i="17"/>
  <c r="B300" i="17"/>
  <c r="B301" i="17"/>
  <c r="B302" i="17"/>
  <c r="B303" i="17"/>
  <c r="B304" i="17"/>
  <c r="B305" i="17"/>
  <c r="B306" i="17"/>
  <c r="B307" i="17"/>
  <c r="B308" i="17"/>
  <c r="B309" i="17"/>
  <c r="B310" i="17"/>
  <c r="B311" i="17"/>
  <c r="B312" i="17"/>
  <c r="B313" i="17"/>
  <c r="B314" i="17"/>
  <c r="B315" i="17"/>
  <c r="B316" i="17"/>
  <c r="B317" i="17"/>
  <c r="B318" i="17"/>
  <c r="B319" i="17"/>
  <c r="B320" i="17"/>
  <c r="B321" i="17"/>
  <c r="B322" i="17"/>
  <c r="B323" i="17"/>
  <c r="B324" i="17"/>
  <c r="B325" i="17"/>
  <c r="B326" i="17"/>
  <c r="B327" i="17"/>
  <c r="B328" i="17"/>
  <c r="B329" i="17"/>
  <c r="B330" i="17"/>
  <c r="B331" i="17"/>
  <c r="B332" i="17"/>
  <c r="B333" i="17"/>
  <c r="B334" i="17"/>
  <c r="B335" i="17"/>
  <c r="B336" i="17"/>
  <c r="B337" i="17"/>
  <c r="B338" i="17"/>
  <c r="B339" i="17"/>
  <c r="B340" i="17"/>
  <c r="B341" i="17"/>
  <c r="B342" i="17"/>
  <c r="B343" i="17"/>
  <c r="B344" i="17"/>
  <c r="B345" i="17"/>
  <c r="B346" i="17"/>
  <c r="B347" i="17"/>
  <c r="B348" i="17"/>
  <c r="B349" i="17"/>
  <c r="B350" i="17"/>
  <c r="B351" i="17"/>
  <c r="B352" i="17"/>
  <c r="B353" i="17"/>
  <c r="B354" i="17"/>
  <c r="B355" i="17"/>
  <c r="B356" i="17"/>
  <c r="B357" i="17"/>
  <c r="B358" i="17"/>
  <c r="B359" i="17"/>
  <c r="B360" i="17"/>
  <c r="B361" i="17"/>
  <c r="B362" i="17"/>
  <c r="B363" i="17"/>
  <c r="G5" i="17"/>
  <c r="G3" i="17"/>
  <c r="F5" i="17"/>
  <c r="F3" i="17"/>
  <c r="E7" i="17"/>
  <c r="E6" i="17"/>
  <c r="E5" i="17"/>
  <c r="E4" i="17"/>
  <c r="E3" i="17"/>
  <c r="D6" i="17"/>
  <c r="D5" i="17"/>
  <c r="D4" i="17"/>
  <c r="D7" i="17"/>
  <c r="D3" i="17"/>
  <c r="C3" i="17"/>
  <c r="B3" i="17"/>
  <c r="K66" i="6" l="1"/>
  <c r="L66" i="5"/>
  <c r="K66" i="5"/>
  <c r="L66" i="2"/>
  <c r="M66" i="2"/>
  <c r="M66" i="6"/>
  <c r="N66" i="6"/>
  <c r="O66" i="6" s="1"/>
  <c r="N66" i="2"/>
  <c r="O66" i="2" s="1"/>
  <c r="M66" i="5"/>
  <c r="N66" i="5"/>
  <c r="O66" i="5" s="1"/>
  <c r="F9" i="17"/>
  <c r="F11" i="17"/>
  <c r="G9" i="17"/>
  <c r="F7" i="17"/>
  <c r="G8" i="17"/>
  <c r="G7" i="17"/>
  <c r="G10" i="17"/>
  <c r="G11" i="17"/>
  <c r="F8" i="17"/>
  <c r="F10" i="17"/>
  <c r="E21" i="1" l="1"/>
  <c r="F14" i="17"/>
  <c r="B21" i="1" s="1"/>
  <c r="G14" i="17"/>
  <c r="C21" i="1" s="1"/>
  <c r="F21" i="1"/>
  <c r="AD3" i="2"/>
  <c r="B6" i="10"/>
  <c r="C2" i="10"/>
  <c r="B3" i="10" s="1"/>
  <c r="H57" i="6"/>
  <c r="H56" i="6"/>
  <c r="H55" i="6"/>
  <c r="H54" i="6"/>
  <c r="H53" i="6"/>
  <c r="H52" i="6"/>
  <c r="H51" i="6"/>
  <c r="H50" i="6"/>
  <c r="H49" i="6"/>
  <c r="H48" i="6"/>
  <c r="H47" i="6"/>
  <c r="H46" i="6"/>
  <c r="H43" i="6"/>
  <c r="H42" i="6"/>
  <c r="H41" i="6"/>
  <c r="H40" i="6"/>
  <c r="H39" i="6"/>
  <c r="F39" i="6"/>
  <c r="E39" i="6"/>
  <c r="C39" i="6"/>
  <c r="B39" i="6"/>
  <c r="H38" i="6"/>
  <c r="F38" i="6"/>
  <c r="E38" i="6"/>
  <c r="C38" i="6"/>
  <c r="B38" i="6"/>
  <c r="H37" i="6"/>
  <c r="F37" i="6"/>
  <c r="E37" i="6"/>
  <c r="C37" i="6"/>
  <c r="B37" i="6"/>
  <c r="H36" i="6"/>
  <c r="F36" i="6"/>
  <c r="E36" i="6"/>
  <c r="C36" i="6"/>
  <c r="B36" i="6"/>
  <c r="H35" i="6"/>
  <c r="F35" i="6"/>
  <c r="E35" i="6"/>
  <c r="C35" i="6"/>
  <c r="B35" i="6"/>
  <c r="H34" i="6"/>
  <c r="F34" i="6"/>
  <c r="E34" i="6"/>
  <c r="C34" i="6"/>
  <c r="B34" i="6"/>
  <c r="H33" i="6"/>
  <c r="F33" i="6"/>
  <c r="E33" i="6"/>
  <c r="C33" i="6"/>
  <c r="B33" i="6"/>
  <c r="H32" i="6"/>
  <c r="F32" i="6"/>
  <c r="E32" i="6"/>
  <c r="C32" i="6"/>
  <c r="B32" i="6"/>
  <c r="F31" i="6"/>
  <c r="E31" i="6"/>
  <c r="C31" i="6"/>
  <c r="B31" i="6"/>
  <c r="F30" i="6"/>
  <c r="E30" i="6"/>
  <c r="C30" i="6"/>
  <c r="B30" i="6"/>
  <c r="H29" i="6"/>
  <c r="F29" i="6"/>
  <c r="E29" i="6"/>
  <c r="C29" i="6"/>
  <c r="B29" i="6"/>
  <c r="H28" i="6"/>
  <c r="F28" i="6"/>
  <c r="E28" i="6"/>
  <c r="C28" i="6"/>
  <c r="B28" i="6"/>
  <c r="H27" i="6"/>
  <c r="F27" i="6"/>
  <c r="E27" i="6"/>
  <c r="C27" i="6"/>
  <c r="B27" i="6"/>
  <c r="H26" i="6"/>
  <c r="F26" i="6"/>
  <c r="E26" i="6"/>
  <c r="C26" i="6"/>
  <c r="B26" i="6"/>
  <c r="H25" i="6"/>
  <c r="F25" i="6"/>
  <c r="E25" i="6"/>
  <c r="C25" i="6"/>
  <c r="B25" i="6"/>
  <c r="H24" i="6"/>
  <c r="F24" i="6"/>
  <c r="E24" i="6"/>
  <c r="C24" i="6"/>
  <c r="B24" i="6"/>
  <c r="H23" i="6"/>
  <c r="F23" i="6"/>
  <c r="E23" i="6"/>
  <c r="C23" i="6"/>
  <c r="B23" i="6"/>
  <c r="H22" i="6"/>
  <c r="F22" i="6"/>
  <c r="E22" i="6"/>
  <c r="C22" i="6"/>
  <c r="B22" i="6"/>
  <c r="H21" i="6"/>
  <c r="F21" i="6"/>
  <c r="E21" i="6"/>
  <c r="C21" i="6"/>
  <c r="B21" i="6"/>
  <c r="H20" i="6"/>
  <c r="F20" i="6"/>
  <c r="E20" i="6"/>
  <c r="C20" i="6"/>
  <c r="B20" i="6"/>
  <c r="H19" i="6"/>
  <c r="F19" i="6"/>
  <c r="E19" i="6"/>
  <c r="C19" i="6"/>
  <c r="B19" i="6"/>
  <c r="H18" i="6"/>
  <c r="F18" i="6"/>
  <c r="E18" i="6"/>
  <c r="C18" i="6"/>
  <c r="B18" i="6"/>
  <c r="F17" i="6"/>
  <c r="E17" i="6"/>
  <c r="C17" i="6"/>
  <c r="B17" i="6"/>
  <c r="F16" i="6"/>
  <c r="E16" i="6"/>
  <c r="C16" i="6"/>
  <c r="B16" i="6"/>
  <c r="H15" i="6"/>
  <c r="F15" i="6"/>
  <c r="E15" i="6"/>
  <c r="C15" i="6"/>
  <c r="B15" i="6"/>
  <c r="H14" i="6"/>
  <c r="F14" i="6"/>
  <c r="E14" i="6"/>
  <c r="C14" i="6"/>
  <c r="B14" i="6"/>
  <c r="H13" i="6"/>
  <c r="F13" i="6"/>
  <c r="E13" i="6"/>
  <c r="C13" i="6"/>
  <c r="B13" i="6"/>
  <c r="H12" i="6"/>
  <c r="F12" i="6"/>
  <c r="E12" i="6"/>
  <c r="C12" i="6"/>
  <c r="B12" i="6"/>
  <c r="H11" i="6"/>
  <c r="F11" i="6"/>
  <c r="E11" i="6"/>
  <c r="C11" i="6"/>
  <c r="B11" i="6"/>
  <c r="H10" i="6"/>
  <c r="F10" i="6"/>
  <c r="E10" i="6"/>
  <c r="C10" i="6"/>
  <c r="B10" i="6"/>
  <c r="H9" i="6"/>
  <c r="F9" i="6"/>
  <c r="E9" i="6"/>
  <c r="C9" i="6"/>
  <c r="B9" i="6"/>
  <c r="H8" i="6"/>
  <c r="F8" i="6"/>
  <c r="E8" i="6"/>
  <c r="C8" i="6"/>
  <c r="B8" i="6"/>
  <c r="H7" i="6"/>
  <c r="F7" i="6"/>
  <c r="E7" i="6"/>
  <c r="C7" i="6"/>
  <c r="B7" i="6"/>
  <c r="H6" i="6"/>
  <c r="F6" i="6"/>
  <c r="E6" i="6"/>
  <c r="C6" i="6"/>
  <c r="B6" i="6"/>
  <c r="H5" i="6"/>
  <c r="F5" i="6"/>
  <c r="E5" i="6"/>
  <c r="C5" i="6"/>
  <c r="B5" i="6"/>
  <c r="H4" i="6"/>
  <c r="F4" i="6"/>
  <c r="E4" i="6"/>
  <c r="C4" i="6"/>
  <c r="B4" i="6"/>
  <c r="F3" i="6"/>
  <c r="E3" i="6"/>
  <c r="C3" i="6"/>
  <c r="B3" i="6"/>
  <c r="H57" i="5"/>
  <c r="H56" i="5"/>
  <c r="H55" i="5"/>
  <c r="H54" i="5"/>
  <c r="H53" i="5"/>
  <c r="H52" i="5"/>
  <c r="H51" i="5"/>
  <c r="H50" i="5"/>
  <c r="H49" i="5"/>
  <c r="H48" i="5"/>
  <c r="H47" i="5"/>
  <c r="H46" i="5"/>
  <c r="H43" i="5"/>
  <c r="H42" i="5"/>
  <c r="H41" i="5"/>
  <c r="H40" i="5"/>
  <c r="H39" i="5"/>
  <c r="F39" i="5"/>
  <c r="E39" i="5"/>
  <c r="C39" i="5"/>
  <c r="B39" i="5"/>
  <c r="H38" i="5"/>
  <c r="F38" i="5"/>
  <c r="E38" i="5"/>
  <c r="C38" i="5"/>
  <c r="B38" i="5"/>
  <c r="H37" i="5"/>
  <c r="F37" i="5"/>
  <c r="E37" i="5"/>
  <c r="C37" i="5"/>
  <c r="B37" i="5"/>
  <c r="H36" i="5"/>
  <c r="F36" i="5"/>
  <c r="E36" i="5"/>
  <c r="C36" i="5"/>
  <c r="B36" i="5"/>
  <c r="H35" i="5"/>
  <c r="F35" i="5"/>
  <c r="E35" i="5"/>
  <c r="C35" i="5"/>
  <c r="B35" i="5"/>
  <c r="H34" i="5"/>
  <c r="F34" i="5"/>
  <c r="E34" i="5"/>
  <c r="C34" i="5"/>
  <c r="B34" i="5"/>
  <c r="H33" i="5"/>
  <c r="F33" i="5"/>
  <c r="E33" i="5"/>
  <c r="C33" i="5"/>
  <c r="B33" i="5"/>
  <c r="H32" i="5"/>
  <c r="F32" i="5"/>
  <c r="E32" i="5"/>
  <c r="C32" i="5"/>
  <c r="B32" i="5"/>
  <c r="F31" i="5"/>
  <c r="E31" i="5"/>
  <c r="C31" i="5"/>
  <c r="B31" i="5"/>
  <c r="F30" i="5"/>
  <c r="E30" i="5"/>
  <c r="C30" i="5"/>
  <c r="B30" i="5"/>
  <c r="H29" i="5"/>
  <c r="F29" i="5"/>
  <c r="E29" i="5"/>
  <c r="C29" i="5"/>
  <c r="B29" i="5"/>
  <c r="H28" i="5"/>
  <c r="F28" i="5"/>
  <c r="E28" i="5"/>
  <c r="C28" i="5"/>
  <c r="B28" i="5"/>
  <c r="H27" i="5"/>
  <c r="F27" i="5"/>
  <c r="E27" i="5"/>
  <c r="C27" i="5"/>
  <c r="B27" i="5"/>
  <c r="H26" i="5"/>
  <c r="F26" i="5"/>
  <c r="E26" i="5"/>
  <c r="C26" i="5"/>
  <c r="B26" i="5"/>
  <c r="H25" i="5"/>
  <c r="F25" i="5"/>
  <c r="E25" i="5"/>
  <c r="C25" i="5"/>
  <c r="B25" i="5"/>
  <c r="H24" i="5"/>
  <c r="F24" i="5"/>
  <c r="E24" i="5"/>
  <c r="C24" i="5"/>
  <c r="B24" i="5"/>
  <c r="H23" i="5"/>
  <c r="F23" i="5"/>
  <c r="E23" i="5"/>
  <c r="C23" i="5"/>
  <c r="B23" i="5"/>
  <c r="H22" i="5"/>
  <c r="F22" i="5"/>
  <c r="E22" i="5"/>
  <c r="C22" i="5"/>
  <c r="B22" i="5"/>
  <c r="H21" i="5"/>
  <c r="F21" i="5"/>
  <c r="E21" i="5"/>
  <c r="C21" i="5"/>
  <c r="B21" i="5"/>
  <c r="H20" i="5"/>
  <c r="F20" i="5"/>
  <c r="E20" i="5"/>
  <c r="C20" i="5"/>
  <c r="B20" i="5"/>
  <c r="H19" i="5"/>
  <c r="F19" i="5"/>
  <c r="E19" i="5"/>
  <c r="C19" i="5"/>
  <c r="B19" i="5"/>
  <c r="H18" i="5"/>
  <c r="F18" i="5"/>
  <c r="E18" i="5"/>
  <c r="C18" i="5"/>
  <c r="B18" i="5"/>
  <c r="F17" i="5"/>
  <c r="E17" i="5"/>
  <c r="C17" i="5"/>
  <c r="B17" i="5"/>
  <c r="F16" i="5"/>
  <c r="E16" i="5"/>
  <c r="C16" i="5"/>
  <c r="B16" i="5"/>
  <c r="H15" i="5"/>
  <c r="F15" i="5"/>
  <c r="E15" i="5"/>
  <c r="C15" i="5"/>
  <c r="B15" i="5"/>
  <c r="H14" i="5"/>
  <c r="F14" i="5"/>
  <c r="E14" i="5"/>
  <c r="C14" i="5"/>
  <c r="B14" i="5"/>
  <c r="H13" i="5"/>
  <c r="F13" i="5"/>
  <c r="E13" i="5"/>
  <c r="C13" i="5"/>
  <c r="B13" i="5"/>
  <c r="H12" i="5"/>
  <c r="F12" i="5"/>
  <c r="E12" i="5"/>
  <c r="C12" i="5"/>
  <c r="B12" i="5"/>
  <c r="H11" i="5"/>
  <c r="F11" i="5"/>
  <c r="E11" i="5"/>
  <c r="C11" i="5"/>
  <c r="B11" i="5"/>
  <c r="H10" i="5"/>
  <c r="F10" i="5"/>
  <c r="E10" i="5"/>
  <c r="C10" i="5"/>
  <c r="B10" i="5"/>
  <c r="H9" i="5"/>
  <c r="F9" i="5"/>
  <c r="E9" i="5"/>
  <c r="C9" i="5"/>
  <c r="B9" i="5"/>
  <c r="H8" i="5"/>
  <c r="F8" i="5"/>
  <c r="E8" i="5"/>
  <c r="C8" i="5"/>
  <c r="B8" i="5"/>
  <c r="H7" i="5"/>
  <c r="F7" i="5"/>
  <c r="E7" i="5"/>
  <c r="C7" i="5"/>
  <c r="B7" i="5"/>
  <c r="H6" i="5"/>
  <c r="F6" i="5"/>
  <c r="E6" i="5"/>
  <c r="C6" i="5"/>
  <c r="B6" i="5"/>
  <c r="H5" i="5"/>
  <c r="F5" i="5"/>
  <c r="E5" i="5"/>
  <c r="C5" i="5"/>
  <c r="B5" i="5"/>
  <c r="H4" i="5"/>
  <c r="F4" i="5"/>
  <c r="E4" i="5"/>
  <c r="C4" i="5"/>
  <c r="B4" i="5"/>
  <c r="F3" i="5"/>
  <c r="E3" i="5"/>
  <c r="C3" i="5"/>
  <c r="B3" i="5"/>
  <c r="H2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4" i="4"/>
  <c r="H18" i="2"/>
  <c r="P3" i="2"/>
  <c r="H57" i="2"/>
  <c r="H56" i="2"/>
  <c r="H55" i="2"/>
  <c r="H54" i="2"/>
  <c r="H53" i="2"/>
  <c r="H52" i="2"/>
  <c r="H51" i="2"/>
  <c r="H50" i="2"/>
  <c r="H49" i="2"/>
  <c r="H48" i="2"/>
  <c r="H47" i="2"/>
  <c r="H20" i="2"/>
  <c r="H21" i="2"/>
  <c r="H22" i="2"/>
  <c r="H23" i="2"/>
  <c r="H24" i="2"/>
  <c r="H25" i="2"/>
  <c r="H26" i="2"/>
  <c r="H27" i="2"/>
  <c r="H28" i="2"/>
  <c r="H29" i="2"/>
  <c r="H19" i="2"/>
  <c r="H34" i="2"/>
  <c r="H35" i="2"/>
  <c r="H36" i="2"/>
  <c r="H37" i="2"/>
  <c r="H38" i="2"/>
  <c r="H39" i="2"/>
  <c r="H40" i="2"/>
  <c r="H41" i="2"/>
  <c r="H42" i="2"/>
  <c r="H43" i="2"/>
  <c r="H33" i="2"/>
  <c r="H6" i="2"/>
  <c r="H7" i="2"/>
  <c r="H8" i="2"/>
  <c r="H9" i="2"/>
  <c r="H10" i="2"/>
  <c r="H11" i="2"/>
  <c r="H12" i="2"/>
  <c r="H13" i="2"/>
  <c r="H14" i="2"/>
  <c r="H15" i="2"/>
  <c r="H5" i="2"/>
  <c r="H4" i="2"/>
  <c r="H32" i="2"/>
  <c r="H46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F3" i="2"/>
  <c r="E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3" i="2"/>
  <c r="I43" i="2" l="1"/>
  <c r="P3" i="5"/>
  <c r="Q4" i="5" s="1"/>
  <c r="Q66" i="5" s="1"/>
  <c r="P3" i="6"/>
  <c r="P4" i="6" s="1"/>
  <c r="P66" i="6" s="1"/>
  <c r="A6" i="10"/>
  <c r="AD3" i="6"/>
  <c r="AD4" i="6" s="1"/>
  <c r="AD3" i="5"/>
  <c r="AE4" i="5" s="1"/>
  <c r="B8" i="10"/>
  <c r="B7" i="10" s="1"/>
  <c r="A8" i="10"/>
  <c r="I13" i="6"/>
  <c r="A3" i="10"/>
  <c r="I9" i="5"/>
  <c r="J29" i="5"/>
  <c r="I42" i="6"/>
  <c r="I57" i="6"/>
  <c r="I55" i="6"/>
  <c r="I54" i="6"/>
  <c r="I56" i="6"/>
  <c r="J40" i="5"/>
  <c r="J21" i="6"/>
  <c r="I51" i="6"/>
  <c r="I52" i="6"/>
  <c r="I41" i="5"/>
  <c r="J42" i="5"/>
  <c r="I35" i="5"/>
  <c r="J36" i="5"/>
  <c r="I52" i="5"/>
  <c r="J36" i="6"/>
  <c r="J38" i="6"/>
  <c r="J33" i="6"/>
  <c r="I5" i="5"/>
  <c r="I41" i="6"/>
  <c r="J35" i="6"/>
  <c r="J37" i="6"/>
  <c r="J39" i="6"/>
  <c r="I11" i="5"/>
  <c r="J42" i="6"/>
  <c r="J34" i="6"/>
  <c r="I10" i="5"/>
  <c r="J12" i="5"/>
  <c r="I22" i="6"/>
  <c r="J22" i="6"/>
  <c r="I48" i="5"/>
  <c r="I51" i="5"/>
  <c r="J37" i="5"/>
  <c r="I20" i="5"/>
  <c r="I19" i="5"/>
  <c r="I28" i="5"/>
  <c r="I27" i="5"/>
  <c r="I50" i="6"/>
  <c r="I23" i="6"/>
  <c r="I8" i="6"/>
  <c r="I29" i="6"/>
  <c r="I36" i="5"/>
  <c r="I20" i="6"/>
  <c r="I50" i="5"/>
  <c r="I37" i="6"/>
  <c r="I28" i="6"/>
  <c r="I42" i="5"/>
  <c r="I54" i="5"/>
  <c r="I47" i="6"/>
  <c r="I26" i="6"/>
  <c r="J48" i="6"/>
  <c r="I21" i="6"/>
  <c r="I49" i="6"/>
  <c r="I5" i="6"/>
  <c r="I8" i="5"/>
  <c r="J15" i="6"/>
  <c r="J8" i="5"/>
  <c r="I15" i="6"/>
  <c r="I37" i="5"/>
  <c r="J6" i="6"/>
  <c r="J55" i="6"/>
  <c r="J11" i="6"/>
  <c r="J52" i="6"/>
  <c r="J9" i="5"/>
  <c r="J7" i="6"/>
  <c r="J5" i="5"/>
  <c r="J14" i="5"/>
  <c r="J38" i="5"/>
  <c r="I7" i="6"/>
  <c r="J54" i="6"/>
  <c r="I14" i="6"/>
  <c r="J9" i="6"/>
  <c r="J10" i="6"/>
  <c r="I13" i="5"/>
  <c r="J34" i="5"/>
  <c r="J12" i="6"/>
  <c r="J10" i="5"/>
  <c r="I6" i="5"/>
  <c r="J8" i="6"/>
  <c r="I48" i="6"/>
  <c r="J13" i="6"/>
  <c r="J41" i="6"/>
  <c r="J51" i="6"/>
  <c r="J28" i="6"/>
  <c r="I35" i="6"/>
  <c r="J20" i="6"/>
  <c r="I12" i="6"/>
  <c r="J14" i="6"/>
  <c r="J47" i="6"/>
  <c r="I36" i="6"/>
  <c r="J5" i="6"/>
  <c r="I19" i="6"/>
  <c r="I11" i="6"/>
  <c r="I40" i="6"/>
  <c r="J57" i="6"/>
  <c r="I6" i="6"/>
  <c r="J27" i="6"/>
  <c r="J26" i="6"/>
  <c r="I33" i="6"/>
  <c r="J40" i="6"/>
  <c r="J50" i="6"/>
  <c r="I10" i="6"/>
  <c r="J29" i="6"/>
  <c r="I25" i="6"/>
  <c r="I43" i="6"/>
  <c r="I53" i="6"/>
  <c r="J25" i="6"/>
  <c r="J43" i="6"/>
  <c r="J53" i="6"/>
  <c r="I9" i="6"/>
  <c r="I24" i="6"/>
  <c r="J24" i="6"/>
  <c r="I39" i="6"/>
  <c r="J56" i="6"/>
  <c r="J19" i="6"/>
  <c r="J49" i="6"/>
  <c r="I34" i="6"/>
  <c r="I27" i="6"/>
  <c r="J23" i="6"/>
  <c r="I38" i="6"/>
  <c r="J13" i="5"/>
  <c r="I22" i="5"/>
  <c r="J48" i="5"/>
  <c r="J6" i="5"/>
  <c r="J22" i="5"/>
  <c r="J55" i="5"/>
  <c r="J23" i="5"/>
  <c r="J41" i="5"/>
  <c r="J51" i="5"/>
  <c r="I14" i="5"/>
  <c r="J20" i="5"/>
  <c r="I24" i="5"/>
  <c r="J39" i="5"/>
  <c r="I39" i="5"/>
  <c r="I43" i="5"/>
  <c r="I34" i="5"/>
  <c r="I33" i="5"/>
  <c r="I40" i="5"/>
  <c r="J35" i="5"/>
  <c r="I55" i="5"/>
  <c r="I47" i="5"/>
  <c r="I26" i="5"/>
  <c r="I29" i="5"/>
  <c r="J33" i="5"/>
  <c r="I56" i="5"/>
  <c r="J52" i="5"/>
  <c r="J49" i="5"/>
  <c r="J56" i="5"/>
  <c r="J57" i="5"/>
  <c r="J47" i="5"/>
  <c r="J53" i="5"/>
  <c r="J50" i="5"/>
  <c r="I57" i="5"/>
  <c r="I49" i="5"/>
  <c r="I12" i="5"/>
  <c r="J43" i="5"/>
  <c r="J24" i="5"/>
  <c r="J27" i="5"/>
  <c r="J25" i="5"/>
  <c r="J19" i="5"/>
  <c r="J26" i="5"/>
  <c r="J15" i="5"/>
  <c r="I15" i="5"/>
  <c r="J28" i="5"/>
  <c r="J7" i="5"/>
  <c r="I7" i="5"/>
  <c r="I53" i="5"/>
  <c r="I25" i="5"/>
  <c r="J54" i="5"/>
  <c r="I21" i="5"/>
  <c r="J21" i="5"/>
  <c r="I23" i="5"/>
  <c r="I38" i="5"/>
  <c r="J11" i="5"/>
  <c r="Q4" i="2"/>
  <c r="Q66" i="2" s="1"/>
  <c r="AE4" i="2"/>
  <c r="I50" i="2"/>
  <c r="J5" i="2"/>
  <c r="J15" i="2"/>
  <c r="J14" i="2"/>
  <c r="I22" i="2"/>
  <c r="I19" i="2"/>
  <c r="I24" i="2"/>
  <c r="I25" i="2"/>
  <c r="I23" i="2"/>
  <c r="I26" i="2"/>
  <c r="I27" i="2"/>
  <c r="L27" i="2" s="1"/>
  <c r="I28" i="2"/>
  <c r="I29" i="2"/>
  <c r="I20" i="2"/>
  <c r="I21" i="2"/>
  <c r="J34" i="2"/>
  <c r="I36" i="2"/>
  <c r="I35" i="2"/>
  <c r="I57" i="2"/>
  <c r="I13" i="2"/>
  <c r="L13" i="2" s="1"/>
  <c r="J28" i="2"/>
  <c r="I15" i="2"/>
  <c r="I14" i="2"/>
  <c r="J38" i="2"/>
  <c r="I37" i="2"/>
  <c r="L37" i="2" s="1"/>
  <c r="J48" i="2"/>
  <c r="I34" i="2"/>
  <c r="J11" i="2"/>
  <c r="J8" i="2"/>
  <c r="J7" i="2"/>
  <c r="J6" i="2"/>
  <c r="J13" i="2"/>
  <c r="J12" i="2"/>
  <c r="I49" i="2"/>
  <c r="J10" i="2"/>
  <c r="J9" i="2"/>
  <c r="I48" i="2"/>
  <c r="L7" i="2"/>
  <c r="J29" i="2"/>
  <c r="I11" i="2"/>
  <c r="J19" i="2"/>
  <c r="I12" i="2"/>
  <c r="J27" i="2"/>
  <c r="P4" i="2"/>
  <c r="P66" i="2" s="1"/>
  <c r="AD4" i="2"/>
  <c r="I39" i="2"/>
  <c r="J57" i="2"/>
  <c r="I52" i="2"/>
  <c r="J47" i="2"/>
  <c r="I51" i="2"/>
  <c r="J37" i="2"/>
  <c r="I38" i="2"/>
  <c r="L38" i="2" s="1"/>
  <c r="J42" i="2"/>
  <c r="J39" i="2"/>
  <c r="J33" i="2"/>
  <c r="J43" i="2"/>
  <c r="J40" i="2"/>
  <c r="J41" i="2"/>
  <c r="J55" i="2"/>
  <c r="J54" i="2"/>
  <c r="J53" i="2"/>
  <c r="J52" i="2"/>
  <c r="J51" i="2"/>
  <c r="J50" i="2"/>
  <c r="J56" i="2"/>
  <c r="J49" i="2"/>
  <c r="I56" i="2"/>
  <c r="I55" i="2"/>
  <c r="I47" i="2"/>
  <c r="I54" i="2"/>
  <c r="L54" i="2" s="1"/>
  <c r="I53" i="2"/>
  <c r="J22" i="2"/>
  <c r="J26" i="2"/>
  <c r="J20" i="2"/>
  <c r="J24" i="2"/>
  <c r="J21" i="2"/>
  <c r="J25" i="2"/>
  <c r="J23" i="2"/>
  <c r="J36" i="2"/>
  <c r="J35" i="2"/>
  <c r="I33" i="2"/>
  <c r="I42" i="2"/>
  <c r="I41" i="2"/>
  <c r="I40" i="2"/>
  <c r="R66" i="2" l="1"/>
  <c r="K55" i="5"/>
  <c r="L55" i="5"/>
  <c r="L10" i="5"/>
  <c r="K10" i="5"/>
  <c r="L28" i="5"/>
  <c r="K28" i="5"/>
  <c r="L54" i="5"/>
  <c r="K54" i="5"/>
  <c r="L52" i="5"/>
  <c r="K52" i="5"/>
  <c r="L41" i="5"/>
  <c r="K41" i="5"/>
  <c r="K19" i="5"/>
  <c r="L19" i="5"/>
  <c r="L5" i="5"/>
  <c r="K5" i="5"/>
  <c r="L51" i="5"/>
  <c r="K51" i="5"/>
  <c r="K48" i="5"/>
  <c r="L48" i="5"/>
  <c r="L12" i="5"/>
  <c r="K12" i="5"/>
  <c r="K37" i="5"/>
  <c r="L37" i="5"/>
  <c r="L27" i="5"/>
  <c r="K27" i="5"/>
  <c r="L24" i="5"/>
  <c r="K24" i="5"/>
  <c r="L15" i="5"/>
  <c r="K15" i="5"/>
  <c r="K14" i="5"/>
  <c r="L14" i="5"/>
  <c r="K20" i="5"/>
  <c r="L20" i="5"/>
  <c r="L29" i="5"/>
  <c r="K29" i="5"/>
  <c r="K23" i="5"/>
  <c r="L23" i="5"/>
  <c r="K50" i="5"/>
  <c r="L50" i="5"/>
  <c r="L56" i="5"/>
  <c r="K56" i="5"/>
  <c r="L9" i="5"/>
  <c r="K9" i="5"/>
  <c r="K26" i="5"/>
  <c r="L26" i="5"/>
  <c r="K6" i="5"/>
  <c r="L6" i="5"/>
  <c r="L38" i="5"/>
  <c r="K38" i="5"/>
  <c r="K47" i="5"/>
  <c r="L47" i="5"/>
  <c r="L35" i="5"/>
  <c r="K35" i="5"/>
  <c r="K42" i="5"/>
  <c r="L42" i="5"/>
  <c r="K49" i="5"/>
  <c r="L49" i="5"/>
  <c r="L22" i="5"/>
  <c r="K22" i="5"/>
  <c r="L13" i="5"/>
  <c r="K13" i="5"/>
  <c r="K36" i="5"/>
  <c r="L36" i="5"/>
  <c r="L57" i="5"/>
  <c r="K57" i="5"/>
  <c r="L33" i="5"/>
  <c r="K33" i="5"/>
  <c r="L21" i="5"/>
  <c r="K21" i="5"/>
  <c r="K40" i="5"/>
  <c r="L40" i="5"/>
  <c r="K25" i="5"/>
  <c r="L25" i="5"/>
  <c r="K34" i="5"/>
  <c r="L34" i="5"/>
  <c r="L11" i="5"/>
  <c r="K11" i="5"/>
  <c r="L53" i="5"/>
  <c r="K53" i="5"/>
  <c r="L43" i="5"/>
  <c r="K43" i="5"/>
  <c r="K8" i="5"/>
  <c r="L8" i="5"/>
  <c r="K7" i="5"/>
  <c r="L7" i="5"/>
  <c r="K39" i="5"/>
  <c r="L39" i="5"/>
  <c r="AD4" i="5"/>
  <c r="L21" i="2"/>
  <c r="L39" i="2"/>
  <c r="L35" i="2"/>
  <c r="S66" i="2"/>
  <c r="L50" i="2"/>
  <c r="L49" i="2"/>
  <c r="L28" i="2"/>
  <c r="L40" i="2"/>
  <c r="L9" i="2"/>
  <c r="L47" i="2"/>
  <c r="L8" i="2"/>
  <c r="L26" i="2"/>
  <c r="L10" i="2"/>
  <c r="L36" i="2"/>
  <c r="L57" i="2"/>
  <c r="L20" i="2"/>
  <c r="L11" i="2"/>
  <c r="L6" i="2"/>
  <c r="L29" i="2"/>
  <c r="L12" i="2"/>
  <c r="L53" i="2"/>
  <c r="L34" i="2"/>
  <c r="L56" i="2"/>
  <c r="L14" i="2"/>
  <c r="L25" i="2"/>
  <c r="L55" i="2"/>
  <c r="L41" i="2"/>
  <c r="L42" i="2"/>
  <c r="L51" i="2"/>
  <c r="L48" i="2"/>
  <c r="L15" i="2"/>
  <c r="L24" i="2"/>
  <c r="L23" i="2"/>
  <c r="L19" i="2"/>
  <c r="L33" i="2"/>
  <c r="L52" i="2"/>
  <c r="L22" i="2"/>
  <c r="L43" i="2"/>
  <c r="I58" i="6"/>
  <c r="J58" i="2"/>
  <c r="J58" i="6"/>
  <c r="U66" i="2"/>
  <c r="V66" i="2" s="1"/>
  <c r="T66" i="2"/>
  <c r="Q4" i="6"/>
  <c r="Q66" i="6" s="1"/>
  <c r="U66" i="6" s="1"/>
  <c r="V66" i="6" s="1"/>
  <c r="P4" i="5"/>
  <c r="P66" i="5" s="1"/>
  <c r="A7" i="10"/>
  <c r="C13" i="1" s="1"/>
  <c r="AE4" i="6"/>
  <c r="N41" i="2"/>
  <c r="M41" i="2"/>
  <c r="M9" i="2"/>
  <c r="N9" i="2"/>
  <c r="N36" i="2"/>
  <c r="M36" i="2"/>
  <c r="N42" i="2"/>
  <c r="M42" i="2"/>
  <c r="M10" i="2"/>
  <c r="N10" i="2"/>
  <c r="N40" i="2"/>
  <c r="M40" i="2"/>
  <c r="N8" i="2"/>
  <c r="M8" i="2"/>
  <c r="N35" i="2"/>
  <c r="M35" i="2"/>
  <c r="M43" i="2"/>
  <c r="N43" i="2"/>
  <c r="N48" i="2"/>
  <c r="M48" i="2"/>
  <c r="N21" i="2"/>
  <c r="M21" i="2"/>
  <c r="N33" i="2"/>
  <c r="M33" i="2"/>
  <c r="N20" i="2"/>
  <c r="M20" i="2"/>
  <c r="M28" i="2"/>
  <c r="N28" i="2"/>
  <c r="N57" i="2"/>
  <c r="M57" i="2"/>
  <c r="N38" i="2"/>
  <c r="M38" i="2"/>
  <c r="N23" i="2"/>
  <c r="M23" i="2"/>
  <c r="N26" i="2"/>
  <c r="M26" i="2"/>
  <c r="N25" i="2"/>
  <c r="M25" i="2"/>
  <c r="M13" i="2"/>
  <c r="N13" i="2"/>
  <c r="M24" i="2"/>
  <c r="N24" i="2"/>
  <c r="N27" i="2"/>
  <c r="M27" i="2"/>
  <c r="M54" i="2"/>
  <c r="N54" i="2"/>
  <c r="M39" i="2"/>
  <c r="N39" i="2"/>
  <c r="N19" i="2"/>
  <c r="M19" i="2"/>
  <c r="M7" i="2"/>
  <c r="N7" i="2"/>
  <c r="N47" i="2"/>
  <c r="M47" i="2"/>
  <c r="N37" i="2"/>
  <c r="M37" i="2"/>
  <c r="N55" i="2"/>
  <c r="M55" i="2"/>
  <c r="N50" i="2"/>
  <c r="M50" i="2"/>
  <c r="N56" i="2"/>
  <c r="M56" i="2"/>
  <c r="M14" i="2"/>
  <c r="N14" i="2"/>
  <c r="N49" i="2"/>
  <c r="M49" i="2"/>
  <c r="N51" i="2"/>
  <c r="M51" i="2"/>
  <c r="N52" i="2"/>
  <c r="M52" i="2"/>
  <c r="N34" i="2"/>
  <c r="M34" i="2"/>
  <c r="N12" i="2"/>
  <c r="M12" i="2"/>
  <c r="N29" i="2"/>
  <c r="M29" i="2"/>
  <c r="M6" i="2"/>
  <c r="N6" i="2"/>
  <c r="N22" i="2"/>
  <c r="M22" i="2"/>
  <c r="N53" i="2"/>
  <c r="M53" i="2"/>
  <c r="M15" i="2"/>
  <c r="N15" i="2"/>
  <c r="M11" i="2"/>
  <c r="N11" i="2"/>
  <c r="N9" i="5"/>
  <c r="N52" i="6"/>
  <c r="N35" i="5"/>
  <c r="M42" i="6"/>
  <c r="P51" i="6"/>
  <c r="M55" i="6"/>
  <c r="N54" i="6"/>
  <c r="M56" i="6"/>
  <c r="N36" i="5"/>
  <c r="M21" i="6"/>
  <c r="N11" i="5"/>
  <c r="M36" i="5"/>
  <c r="N19" i="5"/>
  <c r="M10" i="5"/>
  <c r="N42" i="5"/>
  <c r="M41" i="5"/>
  <c r="N5" i="5"/>
  <c r="M5" i="5"/>
  <c r="M42" i="5"/>
  <c r="N37" i="5"/>
  <c r="M47" i="6"/>
  <c r="M7" i="6"/>
  <c r="M52" i="5"/>
  <c r="M9" i="5"/>
  <c r="M51" i="5"/>
  <c r="N22" i="6"/>
  <c r="M28" i="5"/>
  <c r="N42" i="6"/>
  <c r="M37" i="6"/>
  <c r="N41" i="5"/>
  <c r="N50" i="6"/>
  <c r="M22" i="6"/>
  <c r="M15" i="6"/>
  <c r="N48" i="5"/>
  <c r="N55" i="6"/>
  <c r="N47" i="6"/>
  <c r="N5" i="6"/>
  <c r="Q38" i="5"/>
  <c r="M50" i="6"/>
  <c r="M5" i="6"/>
  <c r="N27" i="5"/>
  <c r="N15" i="6"/>
  <c r="M52" i="6"/>
  <c r="N7" i="6"/>
  <c r="N37" i="6"/>
  <c r="M50" i="5"/>
  <c r="N8" i="6"/>
  <c r="M8" i="5"/>
  <c r="N52" i="5"/>
  <c r="N21" i="6"/>
  <c r="M8" i="6"/>
  <c r="N8" i="5"/>
  <c r="N49" i="6"/>
  <c r="M27" i="5"/>
  <c r="N56" i="6"/>
  <c r="M11" i="5"/>
  <c r="M35" i="5"/>
  <c r="M19" i="5"/>
  <c r="N10" i="5"/>
  <c r="M57" i="6"/>
  <c r="N50" i="5"/>
  <c r="N51" i="5"/>
  <c r="M54" i="6"/>
  <c r="N57" i="6"/>
  <c r="M48" i="5"/>
  <c r="M49" i="6"/>
  <c r="M37" i="5"/>
  <c r="Q33" i="5"/>
  <c r="Q55" i="5"/>
  <c r="Q15" i="5"/>
  <c r="Q22" i="5"/>
  <c r="P26" i="6"/>
  <c r="P37" i="6"/>
  <c r="P8" i="6"/>
  <c r="P49" i="6"/>
  <c r="P28" i="6"/>
  <c r="P21" i="6"/>
  <c r="P29" i="6"/>
  <c r="P22" i="6"/>
  <c r="P50" i="6"/>
  <c r="P56" i="6"/>
  <c r="P55" i="6"/>
  <c r="P54" i="6"/>
  <c r="P57" i="6"/>
  <c r="Q26" i="5"/>
  <c r="Q6" i="5"/>
  <c r="Q11" i="5"/>
  <c r="Q19" i="5"/>
  <c r="Q25" i="5"/>
  <c r="Q27" i="5"/>
  <c r="Q24" i="5"/>
  <c r="Q41" i="5"/>
  <c r="Q43" i="5"/>
  <c r="Q51" i="5"/>
  <c r="Q29" i="5"/>
  <c r="Q23" i="5"/>
  <c r="Q21" i="5"/>
  <c r="Q13" i="5"/>
  <c r="Q8" i="5"/>
  <c r="P13" i="6"/>
  <c r="P47" i="6"/>
  <c r="Q10" i="5"/>
  <c r="Q35" i="5"/>
  <c r="Q54" i="5"/>
  <c r="Q12" i="5"/>
  <c r="Q40" i="5"/>
  <c r="Q5" i="5"/>
  <c r="Q47" i="5"/>
  <c r="Q39" i="5"/>
  <c r="Q9" i="5"/>
  <c r="P52" i="6"/>
  <c r="Q42" i="5"/>
  <c r="Q50" i="5"/>
  <c r="Q53" i="5"/>
  <c r="Q57" i="5"/>
  <c r="P14" i="6"/>
  <c r="Q20" i="5"/>
  <c r="Q34" i="5"/>
  <c r="Q14" i="5"/>
  <c r="Q56" i="5"/>
  <c r="Q7" i="5"/>
  <c r="Q49" i="5"/>
  <c r="Q36" i="5"/>
  <c r="Q28" i="5"/>
  <c r="Q52" i="5"/>
  <c r="N14" i="6"/>
  <c r="M6" i="6"/>
  <c r="P6" i="6"/>
  <c r="N6" i="6"/>
  <c r="M29" i="6"/>
  <c r="P25" i="6"/>
  <c r="N25" i="6"/>
  <c r="M25" i="6"/>
  <c r="M28" i="6"/>
  <c r="M13" i="6"/>
  <c r="P40" i="6"/>
  <c r="N40" i="6"/>
  <c r="M40" i="6"/>
  <c r="M26" i="6"/>
  <c r="M20" i="6"/>
  <c r="P33" i="6"/>
  <c r="N33" i="6"/>
  <c r="M33" i="6"/>
  <c r="N20" i="6"/>
  <c r="M14" i="6"/>
  <c r="M51" i="6"/>
  <c r="P20" i="6"/>
  <c r="M12" i="6"/>
  <c r="P12" i="6"/>
  <c r="N12" i="6"/>
  <c r="P34" i="6"/>
  <c r="N34" i="6"/>
  <c r="M34" i="6"/>
  <c r="N26" i="6"/>
  <c r="P5" i="6"/>
  <c r="N51" i="6"/>
  <c r="M35" i="6"/>
  <c r="P35" i="6"/>
  <c r="N35" i="6"/>
  <c r="M38" i="6"/>
  <c r="N38" i="6"/>
  <c r="P38" i="6"/>
  <c r="P24" i="6"/>
  <c r="N24" i="6"/>
  <c r="M24" i="6"/>
  <c r="P36" i="6"/>
  <c r="N36" i="6"/>
  <c r="M36" i="6"/>
  <c r="P23" i="6"/>
  <c r="M41" i="6"/>
  <c r="P53" i="6"/>
  <c r="N53" i="6"/>
  <c r="M53" i="6"/>
  <c r="P10" i="6"/>
  <c r="N10" i="6"/>
  <c r="M10" i="6"/>
  <c r="P27" i="6"/>
  <c r="N27" i="6"/>
  <c r="M27" i="6"/>
  <c r="P19" i="6"/>
  <c r="N19" i="6"/>
  <c r="M19" i="6"/>
  <c r="P15" i="6"/>
  <c r="P7" i="6"/>
  <c r="M23" i="6"/>
  <c r="P42" i="6"/>
  <c r="N41" i="6"/>
  <c r="P43" i="6"/>
  <c r="N43" i="6"/>
  <c r="M43" i="6"/>
  <c r="N48" i="6"/>
  <c r="M48" i="6"/>
  <c r="P48" i="6"/>
  <c r="N13" i="6"/>
  <c r="N29" i="6"/>
  <c r="N28" i="6"/>
  <c r="P11" i="6"/>
  <c r="N11" i="6"/>
  <c r="M11" i="6"/>
  <c r="P39" i="6"/>
  <c r="N39" i="6"/>
  <c r="M39" i="6"/>
  <c r="P9" i="6"/>
  <c r="N9" i="6"/>
  <c r="M9" i="6"/>
  <c r="N23" i="6"/>
  <c r="P41" i="6"/>
  <c r="N43" i="5"/>
  <c r="M43" i="5"/>
  <c r="M33" i="5"/>
  <c r="N33" i="5"/>
  <c r="M39" i="5"/>
  <c r="N39" i="5"/>
  <c r="N21" i="5"/>
  <c r="M21" i="5"/>
  <c r="M34" i="5"/>
  <c r="N34" i="5"/>
  <c r="N7" i="5"/>
  <c r="M7" i="5"/>
  <c r="N24" i="5"/>
  <c r="M24" i="5"/>
  <c r="M15" i="5"/>
  <c r="N15" i="5"/>
  <c r="M13" i="5"/>
  <c r="N40" i="5"/>
  <c r="M40" i="5"/>
  <c r="N56" i="5"/>
  <c r="M56" i="5"/>
  <c r="N57" i="5"/>
  <c r="M57" i="5"/>
  <c r="N53" i="5"/>
  <c r="M53" i="5"/>
  <c r="N13" i="5"/>
  <c r="N29" i="5"/>
  <c r="M29" i="5"/>
  <c r="N26" i="5"/>
  <c r="M26" i="5"/>
  <c r="N20" i="5"/>
  <c r="M20" i="5"/>
  <c r="M38" i="5"/>
  <c r="N38" i="5"/>
  <c r="M55" i="5"/>
  <c r="N55" i="5"/>
  <c r="M49" i="5"/>
  <c r="N49" i="5"/>
  <c r="Q48" i="5"/>
  <c r="M6" i="5"/>
  <c r="N25" i="5"/>
  <c r="M25" i="5"/>
  <c r="N14" i="5"/>
  <c r="M14" i="5"/>
  <c r="M47" i="5"/>
  <c r="N47" i="5"/>
  <c r="M12" i="5"/>
  <c r="N12" i="5"/>
  <c r="N54" i="5"/>
  <c r="N23" i="5"/>
  <c r="M23" i="5"/>
  <c r="M54" i="5"/>
  <c r="N28" i="5"/>
  <c r="N22" i="5"/>
  <c r="M22" i="5"/>
  <c r="Q37" i="5"/>
  <c r="N6" i="5"/>
  <c r="Q5" i="2"/>
  <c r="Q11" i="2"/>
  <c r="Q8" i="2"/>
  <c r="Q40" i="2"/>
  <c r="Q33" i="2"/>
  <c r="Q12" i="2"/>
  <c r="Q15" i="2"/>
  <c r="Q6" i="2"/>
  <c r="Q19" i="2"/>
  <c r="Q28" i="2"/>
  <c r="Q9" i="2"/>
  <c r="Q10" i="2"/>
  <c r="Q34" i="2"/>
  <c r="Q39" i="2"/>
  <c r="Q13" i="2"/>
  <c r="Q47" i="2"/>
  <c r="Q38" i="2"/>
  <c r="Q7" i="2"/>
  <c r="Q29" i="2"/>
  <c r="Q14" i="2"/>
  <c r="Q27" i="2"/>
  <c r="Q48" i="2"/>
  <c r="P50" i="2"/>
  <c r="R50" i="2" s="1"/>
  <c r="P35" i="2"/>
  <c r="Q57" i="2"/>
  <c r="P21" i="2"/>
  <c r="P27" i="2"/>
  <c r="P28" i="2"/>
  <c r="P20" i="2"/>
  <c r="P51" i="2"/>
  <c r="P52" i="2"/>
  <c r="P57" i="2"/>
  <c r="P49" i="2"/>
  <c r="P22" i="2"/>
  <c r="P25" i="2"/>
  <c r="P26" i="2"/>
  <c r="P7" i="2"/>
  <c r="R7" i="2" s="1"/>
  <c r="P6" i="2"/>
  <c r="P36" i="2"/>
  <c r="R36" i="2" s="1"/>
  <c r="P24" i="2"/>
  <c r="P34" i="2"/>
  <c r="P9" i="2"/>
  <c r="R9" i="2" s="1"/>
  <c r="P10" i="2"/>
  <c r="P13" i="2"/>
  <c r="P14" i="2"/>
  <c r="P15" i="2"/>
  <c r="P37" i="2"/>
  <c r="P39" i="2"/>
  <c r="P8" i="2"/>
  <c r="P48" i="2"/>
  <c r="P12" i="2"/>
  <c r="P11" i="2"/>
  <c r="P38" i="2"/>
  <c r="R38" i="2" s="1"/>
  <c r="P29" i="2"/>
  <c r="Q42" i="2"/>
  <c r="Q43" i="2"/>
  <c r="Q37" i="2"/>
  <c r="Q41" i="2"/>
  <c r="Q55" i="2"/>
  <c r="P47" i="2"/>
  <c r="Q52" i="2"/>
  <c r="P56" i="2"/>
  <c r="Q54" i="2"/>
  <c r="P54" i="2"/>
  <c r="Q49" i="2"/>
  <c r="Q53" i="2"/>
  <c r="P55" i="2"/>
  <c r="R55" i="2" s="1"/>
  <c r="Q56" i="2"/>
  <c r="P53" i="2"/>
  <c r="Q50" i="2"/>
  <c r="P23" i="2"/>
  <c r="R23" i="2" s="1"/>
  <c r="Q51" i="2"/>
  <c r="Q24" i="2"/>
  <c r="Q22" i="2"/>
  <c r="Q21" i="2"/>
  <c r="P19" i="2"/>
  <c r="Q26" i="2"/>
  <c r="Q25" i="2"/>
  <c r="Q20" i="2"/>
  <c r="Q23" i="2"/>
  <c r="Q35" i="2"/>
  <c r="Q36" i="2"/>
  <c r="P42" i="2"/>
  <c r="P43" i="2"/>
  <c r="P40" i="2"/>
  <c r="R40" i="2" s="1"/>
  <c r="P41" i="2"/>
  <c r="R41" i="2" s="1"/>
  <c r="P33" i="2"/>
  <c r="R33" i="2" s="1"/>
  <c r="R11" i="2" l="1"/>
  <c r="R22" i="2"/>
  <c r="R28" i="2"/>
  <c r="R52" i="2"/>
  <c r="R12" i="2"/>
  <c r="R14" i="2"/>
  <c r="R10" i="2"/>
  <c r="R6" i="2"/>
  <c r="R43" i="2"/>
  <c r="R25" i="2"/>
  <c r="R57" i="2"/>
  <c r="R37" i="2"/>
  <c r="R51" i="2"/>
  <c r="R19" i="2"/>
  <c r="R29" i="2"/>
  <c r="R53" i="2"/>
  <c r="R26" i="2"/>
  <c r="R48" i="2"/>
  <c r="R8" i="2"/>
  <c r="R49" i="2"/>
  <c r="R54" i="2"/>
  <c r="R39" i="2"/>
  <c r="R15" i="2"/>
  <c r="R47" i="2"/>
  <c r="R27" i="2"/>
  <c r="R42" i="2"/>
  <c r="R20" i="2"/>
  <c r="R13" i="2"/>
  <c r="R21" i="2"/>
  <c r="R34" i="2"/>
  <c r="R66" i="6"/>
  <c r="S56" i="2"/>
  <c r="R56" i="2"/>
  <c r="R24" i="2"/>
  <c r="R35" i="2"/>
  <c r="S66" i="6"/>
  <c r="O10" i="6"/>
  <c r="O29" i="6"/>
  <c r="O50" i="6"/>
  <c r="O24" i="6"/>
  <c r="O35" i="6"/>
  <c r="R66" i="5"/>
  <c r="S66" i="5"/>
  <c r="S52" i="2"/>
  <c r="S40" i="2"/>
  <c r="S39" i="2"/>
  <c r="S10" i="2"/>
  <c r="S27" i="2"/>
  <c r="S21" i="2"/>
  <c r="S14" i="2"/>
  <c r="S33" i="2"/>
  <c r="S57" i="2"/>
  <c r="S15" i="2"/>
  <c r="S8" i="2"/>
  <c r="S34" i="2"/>
  <c r="S48" i="2"/>
  <c r="S22" i="2"/>
  <c r="S54" i="2"/>
  <c r="S51" i="2"/>
  <c r="S49" i="2"/>
  <c r="S20" i="2"/>
  <c r="S37" i="2"/>
  <c r="S19" i="2"/>
  <c r="S47" i="2"/>
  <c r="S13" i="2"/>
  <c r="S28" i="2"/>
  <c r="S9" i="2"/>
  <c r="S24" i="2"/>
  <c r="S41" i="2"/>
  <c r="S29" i="2"/>
  <c r="S36" i="2"/>
  <c r="S50" i="2"/>
  <c r="S38" i="2"/>
  <c r="S53" i="2"/>
  <c r="S43" i="2"/>
  <c r="S11" i="2"/>
  <c r="S7" i="2"/>
  <c r="S35" i="2"/>
  <c r="S6" i="2"/>
  <c r="S42" i="2"/>
  <c r="S55" i="2"/>
  <c r="S12" i="2"/>
  <c r="S26" i="2"/>
  <c r="S23" i="2"/>
  <c r="S25" i="2"/>
  <c r="O24" i="5"/>
  <c r="O14" i="6"/>
  <c r="O34" i="6"/>
  <c r="O53" i="6"/>
  <c r="T66" i="6"/>
  <c r="O55" i="6"/>
  <c r="O27" i="6"/>
  <c r="O38" i="6"/>
  <c r="O57" i="6"/>
  <c r="O54" i="6"/>
  <c r="O52" i="6"/>
  <c r="O5" i="6"/>
  <c r="O15" i="6"/>
  <c r="O41" i="6"/>
  <c r="O49" i="6"/>
  <c r="O43" i="6"/>
  <c r="O37" i="6"/>
  <c r="O23" i="6"/>
  <c r="O7" i="6"/>
  <c r="O56" i="6"/>
  <c r="O9" i="6"/>
  <c r="O19" i="6"/>
  <c r="O13" i="6"/>
  <c r="O8" i="6"/>
  <c r="O28" i="6"/>
  <c r="O21" i="6"/>
  <c r="O12" i="6"/>
  <c r="O26" i="6"/>
  <c r="P58" i="6"/>
  <c r="O33" i="6"/>
  <c r="O51" i="6"/>
  <c r="O36" i="6"/>
  <c r="O6" i="6"/>
  <c r="O22" i="6"/>
  <c r="Q58" i="2"/>
  <c r="O47" i="6"/>
  <c r="O48" i="6"/>
  <c r="O11" i="6"/>
  <c r="O42" i="6"/>
  <c r="O39" i="6"/>
  <c r="O20" i="6"/>
  <c r="O25" i="6"/>
  <c r="O40" i="6"/>
  <c r="O21" i="5"/>
  <c r="O23" i="5"/>
  <c r="O20" i="5"/>
  <c r="O57" i="5"/>
  <c r="O6" i="5"/>
  <c r="O38" i="5"/>
  <c r="O10" i="5"/>
  <c r="O14" i="5"/>
  <c r="O28" i="5"/>
  <c r="O12" i="5"/>
  <c r="O35" i="5"/>
  <c r="O7" i="5"/>
  <c r="O5" i="5"/>
  <c r="O42" i="5"/>
  <c r="O22" i="5"/>
  <c r="O52" i="5"/>
  <c r="O51" i="5"/>
  <c r="O39" i="5"/>
  <c r="O56" i="5"/>
  <c r="O27" i="5"/>
  <c r="O43" i="5"/>
  <c r="O33" i="5"/>
  <c r="O34" i="5"/>
  <c r="O40" i="5"/>
  <c r="O50" i="5"/>
  <c r="O26" i="5"/>
  <c r="O55" i="5"/>
  <c r="O54" i="5"/>
  <c r="Q58" i="5"/>
  <c r="O53" i="5"/>
  <c r="O11" i="5"/>
  <c r="O48" i="5"/>
  <c r="O29" i="5"/>
  <c r="O8" i="5"/>
  <c r="O36" i="5"/>
  <c r="O47" i="5"/>
  <c r="O49" i="5"/>
  <c r="O41" i="5"/>
  <c r="O9" i="5"/>
  <c r="O19" i="5"/>
  <c r="O25" i="5"/>
  <c r="O37" i="5"/>
  <c r="O13" i="5"/>
  <c r="O15" i="5"/>
  <c r="U66" i="5"/>
  <c r="V66" i="5" s="1"/>
  <c r="T66" i="5"/>
  <c r="C7" i="10"/>
  <c r="B13" i="1" s="1"/>
  <c r="Q13" i="6"/>
  <c r="T13" i="6" s="1"/>
  <c r="P47" i="5"/>
  <c r="Q29" i="6"/>
  <c r="U29" i="6" s="1"/>
  <c r="Q20" i="6"/>
  <c r="T20" i="6" s="1"/>
  <c r="Q15" i="6"/>
  <c r="U15" i="6" s="1"/>
  <c r="Q25" i="6"/>
  <c r="U25" i="6" s="1"/>
  <c r="P24" i="5"/>
  <c r="Q14" i="6"/>
  <c r="T14" i="6" s="1"/>
  <c r="Q9" i="6"/>
  <c r="U9" i="6" s="1"/>
  <c r="Q39" i="6"/>
  <c r="U39" i="6" s="1"/>
  <c r="Q10" i="6"/>
  <c r="U10" i="6" s="1"/>
  <c r="P29" i="5"/>
  <c r="Q6" i="6"/>
  <c r="U6" i="6" s="1"/>
  <c r="Q41" i="6"/>
  <c r="U41" i="6" s="1"/>
  <c r="P15" i="5"/>
  <c r="Q43" i="6"/>
  <c r="T43" i="6" s="1"/>
  <c r="Q53" i="6"/>
  <c r="U53" i="6" s="1"/>
  <c r="Q8" i="6"/>
  <c r="U8" i="6" s="1"/>
  <c r="P25" i="5"/>
  <c r="P54" i="5"/>
  <c r="Q5" i="6"/>
  <c r="U5" i="6" s="1"/>
  <c r="Q7" i="6"/>
  <c r="T7" i="6" s="1"/>
  <c r="Q35" i="6"/>
  <c r="U35" i="6" s="1"/>
  <c r="Q50" i="6"/>
  <c r="T50" i="6" s="1"/>
  <c r="P14" i="5"/>
  <c r="P26" i="5"/>
  <c r="Q24" i="6"/>
  <c r="U24" i="6" s="1"/>
  <c r="P28" i="5"/>
  <c r="Q49" i="6"/>
  <c r="U49" i="6" s="1"/>
  <c r="P7" i="5"/>
  <c r="Q47" i="6"/>
  <c r="S47" i="6" s="1"/>
  <c r="Q37" i="6"/>
  <c r="T37" i="6" s="1"/>
  <c r="Q57" i="6"/>
  <c r="T57" i="6" s="1"/>
  <c r="Q52" i="6"/>
  <c r="T52" i="6" s="1"/>
  <c r="Q51" i="6"/>
  <c r="U51" i="6" s="1"/>
  <c r="Q28" i="6"/>
  <c r="T28" i="6" s="1"/>
  <c r="Q38" i="6"/>
  <c r="U38" i="6" s="1"/>
  <c r="P5" i="5"/>
  <c r="P34" i="5"/>
  <c r="P35" i="5"/>
  <c r="P36" i="5"/>
  <c r="P19" i="5"/>
  <c r="P6" i="5"/>
  <c r="Q56" i="6"/>
  <c r="T56" i="6" s="1"/>
  <c r="P27" i="5"/>
  <c r="Q11" i="6"/>
  <c r="U11" i="6" s="1"/>
  <c r="P23" i="5"/>
  <c r="P57" i="5"/>
  <c r="P52" i="5"/>
  <c r="Q21" i="6"/>
  <c r="T21" i="6" s="1"/>
  <c r="Q55" i="6"/>
  <c r="T55" i="6" s="1"/>
  <c r="Q33" i="6"/>
  <c r="T33" i="6" s="1"/>
  <c r="P10" i="5"/>
  <c r="Q27" i="6"/>
  <c r="U27" i="6" s="1"/>
  <c r="P50" i="5"/>
  <c r="P12" i="5"/>
  <c r="P40" i="5"/>
  <c r="Q48" i="6"/>
  <c r="U48" i="6" s="1"/>
  <c r="Q26" i="6"/>
  <c r="U26" i="6" s="1"/>
  <c r="Q12" i="6"/>
  <c r="U12" i="6" s="1"/>
  <c r="P43" i="5"/>
  <c r="P41" i="5"/>
  <c r="Q23" i="6"/>
  <c r="U23" i="6" s="1"/>
  <c r="Q34" i="6"/>
  <c r="U34" i="6" s="1"/>
  <c r="Q22" i="6"/>
  <c r="T22" i="6" s="1"/>
  <c r="P51" i="5"/>
  <c r="P13" i="5"/>
  <c r="Q42" i="6"/>
  <c r="T42" i="6" s="1"/>
  <c r="P22" i="5"/>
  <c r="P9" i="5"/>
  <c r="P53" i="5"/>
  <c r="P42" i="5"/>
  <c r="Q19" i="6"/>
  <c r="U19" i="6" s="1"/>
  <c r="P21" i="5"/>
  <c r="P37" i="5"/>
  <c r="P20" i="5"/>
  <c r="P11" i="5"/>
  <c r="P49" i="5"/>
  <c r="P55" i="5"/>
  <c r="P56" i="5"/>
  <c r="P39" i="5"/>
  <c r="Q36" i="6"/>
  <c r="T36" i="6" s="1"/>
  <c r="P8" i="5"/>
  <c r="P33" i="5"/>
  <c r="P38" i="5"/>
  <c r="Q54" i="6"/>
  <c r="U54" i="6" s="1"/>
  <c r="P48" i="5"/>
  <c r="Q40" i="6"/>
  <c r="T40" i="6" s="1"/>
  <c r="U20" i="2"/>
  <c r="T20" i="2"/>
  <c r="U28" i="2"/>
  <c r="T28" i="2"/>
  <c r="U48" i="2"/>
  <c r="T48" i="2"/>
  <c r="U27" i="2"/>
  <c r="T27" i="2"/>
  <c r="T8" i="2"/>
  <c r="U8" i="2"/>
  <c r="U21" i="2"/>
  <c r="T21" i="2"/>
  <c r="T12" i="2"/>
  <c r="U12" i="2"/>
  <c r="T55" i="2"/>
  <c r="U55" i="2"/>
  <c r="T10" i="2"/>
  <c r="U10" i="2"/>
  <c r="T9" i="2"/>
  <c r="U9" i="2"/>
  <c r="U34" i="2"/>
  <c r="T34" i="2"/>
  <c r="U13" i="2"/>
  <c r="T13" i="2"/>
  <c r="T54" i="2"/>
  <c r="U54" i="2"/>
  <c r="U33" i="2"/>
  <c r="T33" i="2"/>
  <c r="U24" i="2"/>
  <c r="T24" i="2"/>
  <c r="U50" i="2"/>
  <c r="T50" i="2"/>
  <c r="U56" i="2"/>
  <c r="T56" i="2"/>
  <c r="U36" i="2"/>
  <c r="T36" i="2"/>
  <c r="U11" i="2"/>
  <c r="T11" i="2"/>
  <c r="T53" i="2"/>
  <c r="U53" i="2"/>
  <c r="T15" i="2"/>
  <c r="U15" i="2"/>
  <c r="U42" i="2"/>
  <c r="T42" i="2"/>
  <c r="U26" i="2"/>
  <c r="T26" i="2"/>
  <c r="U23" i="2"/>
  <c r="T23" i="2"/>
  <c r="T7" i="2"/>
  <c r="U7" i="2"/>
  <c r="U40" i="2"/>
  <c r="T40" i="2"/>
  <c r="T6" i="2"/>
  <c r="U6" i="2"/>
  <c r="U22" i="2"/>
  <c r="T22" i="2"/>
  <c r="U49" i="2"/>
  <c r="T49" i="2"/>
  <c r="U19" i="2"/>
  <c r="T19" i="2"/>
  <c r="U39" i="2"/>
  <c r="T39" i="2"/>
  <c r="U47" i="2"/>
  <c r="T47" i="2"/>
  <c r="U25" i="2"/>
  <c r="T25" i="2"/>
  <c r="U57" i="2"/>
  <c r="T57" i="2"/>
  <c r="U35" i="2"/>
  <c r="T35" i="2"/>
  <c r="U29" i="2"/>
  <c r="T29" i="2"/>
  <c r="U52" i="2"/>
  <c r="T52" i="2"/>
  <c r="T37" i="2"/>
  <c r="U37" i="2"/>
  <c r="U14" i="2"/>
  <c r="T14" i="2"/>
  <c r="U41" i="2"/>
  <c r="T41" i="2"/>
  <c r="U43" i="2"/>
  <c r="T43" i="2"/>
  <c r="U38" i="2"/>
  <c r="T38" i="2"/>
  <c r="U51" i="2"/>
  <c r="T51" i="2"/>
  <c r="R48" i="6" l="1"/>
  <c r="R39" i="6"/>
  <c r="S48" i="6"/>
  <c r="S24" i="6"/>
  <c r="R50" i="6"/>
  <c r="S50" i="6"/>
  <c r="R40" i="6"/>
  <c r="S25" i="6"/>
  <c r="R8" i="6"/>
  <c r="S21" i="6"/>
  <c r="R20" i="6"/>
  <c r="S40" i="6"/>
  <c r="S8" i="6"/>
  <c r="R33" i="6"/>
  <c r="S20" i="6"/>
  <c r="R9" i="6"/>
  <c r="R7" i="6"/>
  <c r="S42" i="6"/>
  <c r="S33" i="6"/>
  <c r="R24" i="6"/>
  <c r="S9" i="6"/>
  <c r="S7" i="6"/>
  <c r="R42" i="6"/>
  <c r="R51" i="6"/>
  <c r="R29" i="6"/>
  <c r="P58" i="5"/>
  <c r="V56" i="5" s="1"/>
  <c r="R6" i="6"/>
  <c r="S12" i="6"/>
  <c r="S51" i="6"/>
  <c r="S39" i="6"/>
  <c r="S53" i="6"/>
  <c r="S29" i="6"/>
  <c r="S6" i="6"/>
  <c r="R12" i="6"/>
  <c r="R11" i="6"/>
  <c r="R47" i="6"/>
  <c r="R53" i="6"/>
  <c r="R35" i="6"/>
  <c r="R55" i="6"/>
  <c r="S11" i="6"/>
  <c r="R49" i="6"/>
  <c r="S35" i="6"/>
  <c r="S55" i="6"/>
  <c r="R57" i="6"/>
  <c r="R36" i="6"/>
  <c r="R37" i="6"/>
  <c r="S49" i="6"/>
  <c r="R10" i="6"/>
  <c r="R38" i="6"/>
  <c r="S57" i="6"/>
  <c r="S36" i="6"/>
  <c r="S37" i="6"/>
  <c r="R28" i="6"/>
  <c r="S10" i="6"/>
  <c r="S38" i="6"/>
  <c r="R13" i="6"/>
  <c r="S34" i="6"/>
  <c r="S23" i="6"/>
  <c r="S28" i="6"/>
  <c r="R22" i="6"/>
  <c r="S13" i="6"/>
  <c r="R34" i="6"/>
  <c r="R23" i="6"/>
  <c r="R43" i="6"/>
  <c r="S22" i="6"/>
  <c r="R56" i="6"/>
  <c r="R14" i="6"/>
  <c r="R15" i="6"/>
  <c r="S43" i="6"/>
  <c r="R52" i="6"/>
  <c r="S56" i="6"/>
  <c r="R54" i="6"/>
  <c r="S14" i="6"/>
  <c r="S15" i="6"/>
  <c r="S52" i="6"/>
  <c r="R27" i="6"/>
  <c r="S54" i="6"/>
  <c r="R19" i="6"/>
  <c r="S26" i="6"/>
  <c r="R5" i="6"/>
  <c r="R41" i="6"/>
  <c r="S27" i="6"/>
  <c r="R25" i="6"/>
  <c r="S19" i="6"/>
  <c r="R26" i="6"/>
  <c r="S5" i="6"/>
  <c r="R21" i="6"/>
  <c r="S41" i="6"/>
  <c r="O60" i="5"/>
  <c r="J60" i="5" s="1"/>
  <c r="O61" i="5"/>
  <c r="J61" i="5" s="1"/>
  <c r="R48" i="5"/>
  <c r="S48" i="5"/>
  <c r="S13" i="5"/>
  <c r="R13" i="5"/>
  <c r="S55" i="5"/>
  <c r="R55" i="5"/>
  <c r="R20" i="5"/>
  <c r="S20" i="5"/>
  <c r="R29" i="5"/>
  <c r="S29" i="5"/>
  <c r="S6" i="5"/>
  <c r="R6" i="5"/>
  <c r="S47" i="5"/>
  <c r="R47" i="5"/>
  <c r="R23" i="5"/>
  <c r="S23" i="5"/>
  <c r="S37" i="5"/>
  <c r="R37" i="5"/>
  <c r="S21" i="5"/>
  <c r="R21" i="5"/>
  <c r="S19" i="5"/>
  <c r="R19" i="5"/>
  <c r="R26" i="5"/>
  <c r="S26" i="5"/>
  <c r="S53" i="5"/>
  <c r="R53" i="5"/>
  <c r="S24" i="5"/>
  <c r="R24" i="5"/>
  <c r="R9" i="5"/>
  <c r="S9" i="5"/>
  <c r="S25" i="5"/>
  <c r="R25" i="5"/>
  <c r="R15" i="5"/>
  <c r="S15" i="5"/>
  <c r="S40" i="5"/>
  <c r="R40" i="5"/>
  <c r="S36" i="5"/>
  <c r="R36" i="5"/>
  <c r="S14" i="5"/>
  <c r="R14" i="5"/>
  <c r="S5" i="5"/>
  <c r="R5" i="5"/>
  <c r="R51" i="5"/>
  <c r="S51" i="5"/>
  <c r="R28" i="5"/>
  <c r="S28" i="5"/>
  <c r="R42" i="5"/>
  <c r="S42" i="5"/>
  <c r="S12" i="5"/>
  <c r="R12" i="5"/>
  <c r="S35" i="5"/>
  <c r="R35" i="5"/>
  <c r="R50" i="5"/>
  <c r="S50" i="5"/>
  <c r="S38" i="5"/>
  <c r="R38" i="5"/>
  <c r="S22" i="5"/>
  <c r="R22" i="5"/>
  <c r="S10" i="5"/>
  <c r="R10" i="5"/>
  <c r="R33" i="5"/>
  <c r="S33" i="5"/>
  <c r="S54" i="5"/>
  <c r="R54" i="5"/>
  <c r="R34" i="5"/>
  <c r="S34" i="5"/>
  <c r="S8" i="5"/>
  <c r="R8" i="5"/>
  <c r="R39" i="5"/>
  <c r="S39" i="5"/>
  <c r="S52" i="5"/>
  <c r="R52" i="5"/>
  <c r="R56" i="5"/>
  <c r="S56" i="5"/>
  <c r="S57" i="5"/>
  <c r="R57" i="5"/>
  <c r="S49" i="5"/>
  <c r="R49" i="5"/>
  <c r="S41" i="5"/>
  <c r="R41" i="5"/>
  <c r="R7" i="5"/>
  <c r="S7" i="5"/>
  <c r="S11" i="5"/>
  <c r="R11" i="5"/>
  <c r="S43" i="5"/>
  <c r="R43" i="5"/>
  <c r="S27" i="5"/>
  <c r="R27" i="5"/>
  <c r="T47" i="6"/>
  <c r="Q58" i="6"/>
  <c r="U12" i="5"/>
  <c r="T7" i="5"/>
  <c r="T11" i="5"/>
  <c r="T10" i="5"/>
  <c r="T52" i="5"/>
  <c r="T14" i="5"/>
  <c r="U56" i="5"/>
  <c r="U49" i="5"/>
  <c r="U28" i="5"/>
  <c r="U37" i="5"/>
  <c r="T20" i="5"/>
  <c r="U21" i="5"/>
  <c r="T53" i="5"/>
  <c r="U51" i="5"/>
  <c r="T36" i="5"/>
  <c r="U13" i="5"/>
  <c r="T35" i="5"/>
  <c r="U39" i="5"/>
  <c r="T50" i="5"/>
  <c r="T9" i="5"/>
  <c r="U22" i="5"/>
  <c r="T54" i="5"/>
  <c r="T15" i="5"/>
  <c r="T24" i="5"/>
  <c r="T48" i="5"/>
  <c r="U41" i="5"/>
  <c r="T5" i="5"/>
  <c r="U27" i="5"/>
  <c r="T25" i="5"/>
  <c r="U43" i="5"/>
  <c r="U26" i="5"/>
  <c r="U47" i="5"/>
  <c r="V38" i="5"/>
  <c r="T6" i="5"/>
  <c r="T19" i="5"/>
  <c r="T38" i="5"/>
  <c r="U33" i="5"/>
  <c r="T29" i="5"/>
  <c r="U40" i="5"/>
  <c r="U55" i="5"/>
  <c r="T42" i="5"/>
  <c r="T57" i="5"/>
  <c r="U23" i="5"/>
  <c r="U34" i="5"/>
  <c r="U8" i="5"/>
  <c r="W3" i="5"/>
  <c r="T49" i="6"/>
  <c r="U50" i="5"/>
  <c r="U37" i="6"/>
  <c r="U13" i="6"/>
  <c r="U14" i="6"/>
  <c r="T47" i="5"/>
  <c r="U20" i="6"/>
  <c r="T41" i="5"/>
  <c r="U21" i="6"/>
  <c r="T26" i="5"/>
  <c r="T21" i="5"/>
  <c r="T49" i="5"/>
  <c r="U24" i="5"/>
  <c r="U7" i="5"/>
  <c r="T39" i="5"/>
  <c r="T37" i="5"/>
  <c r="T15" i="6"/>
  <c r="T25" i="6"/>
  <c r="U33" i="6"/>
  <c r="U5" i="5"/>
  <c r="T27" i="6"/>
  <c r="T28" i="5"/>
  <c r="T9" i="6"/>
  <c r="U47" i="6"/>
  <c r="T51" i="6"/>
  <c r="T41" i="6"/>
  <c r="U20" i="5"/>
  <c r="U28" i="6"/>
  <c r="T43" i="5"/>
  <c r="U11" i="5"/>
  <c r="U29" i="5"/>
  <c r="U10" i="5"/>
  <c r="T26" i="6"/>
  <c r="T24" i="6"/>
  <c r="T55" i="5"/>
  <c r="T53" i="6"/>
  <c r="T12" i="5"/>
  <c r="U43" i="6"/>
  <c r="U35" i="5"/>
  <c r="T54" i="6"/>
  <c r="U15" i="5"/>
  <c r="U40" i="6"/>
  <c r="U19" i="5"/>
  <c r="T5" i="6"/>
  <c r="T38" i="6"/>
  <c r="U6" i="5"/>
  <c r="U38" i="5"/>
  <c r="U55" i="6"/>
  <c r="U57" i="6"/>
  <c r="T56" i="5"/>
  <c r="T34" i="6"/>
  <c r="T12" i="6"/>
  <c r="T23" i="6"/>
  <c r="T29" i="6"/>
  <c r="U57" i="5"/>
  <c r="U52" i="5"/>
  <c r="T19" i="6"/>
  <c r="U14" i="5"/>
  <c r="U50" i="6"/>
  <c r="T6" i="6"/>
  <c r="U52" i="6"/>
  <c r="U48" i="5"/>
  <c r="U54" i="5"/>
  <c r="T33" i="5"/>
  <c r="T35" i="6"/>
  <c r="U22" i="6"/>
  <c r="T8" i="6"/>
  <c r="T51" i="5"/>
  <c r="T10" i="6"/>
  <c r="T39" i="6"/>
  <c r="T8" i="5"/>
  <c r="U36" i="5"/>
  <c r="U25" i="5"/>
  <c r="U7" i="6"/>
  <c r="T40" i="5"/>
  <c r="U9" i="5"/>
  <c r="T48" i="6"/>
  <c r="T27" i="5"/>
  <c r="T13" i="5"/>
  <c r="T23" i="5"/>
  <c r="T22" i="5"/>
  <c r="T34" i="5"/>
  <c r="U42" i="6"/>
  <c r="U42" i="5"/>
  <c r="U36" i="6"/>
  <c r="U53" i="5"/>
  <c r="T11" i="6"/>
  <c r="U56" i="6"/>
  <c r="K60" i="5"/>
  <c r="K61" i="5" a="1"/>
  <c r="L60" i="5" a="1"/>
  <c r="L61" i="5" a="1"/>
  <c r="T60" i="6" l="1"/>
  <c r="T61" i="6"/>
  <c r="T61" i="5"/>
  <c r="T60" i="5"/>
  <c r="V56" i="6"/>
  <c r="V10" i="6"/>
  <c r="V48" i="6"/>
  <c r="V12" i="6"/>
  <c r="V39" i="6"/>
  <c r="V25" i="6"/>
  <c r="V34" i="6"/>
  <c r="V40" i="6"/>
  <c r="V29" i="6"/>
  <c r="V37" i="6"/>
  <c r="V20" i="6"/>
  <c r="V43" i="6"/>
  <c r="V38" i="6"/>
  <c r="V22" i="6"/>
  <c r="V15" i="6"/>
  <c r="V8" i="6"/>
  <c r="V51" i="6"/>
  <c r="V50" i="6"/>
  <c r="V55" i="6"/>
  <c r="V21" i="6"/>
  <c r="V11" i="6"/>
  <c r="V14" i="6"/>
  <c r="V5" i="6"/>
  <c r="V23" i="6"/>
  <c r="V19" i="6"/>
  <c r="V47" i="6"/>
  <c r="V41" i="6"/>
  <c r="V57" i="6"/>
  <c r="V54" i="6"/>
  <c r="V7" i="6"/>
  <c r="V53" i="6"/>
  <c r="V28" i="6"/>
  <c r="V42" i="6"/>
  <c r="V6" i="6"/>
  <c r="V35" i="6"/>
  <c r="V26" i="6"/>
  <c r="V27" i="6"/>
  <c r="V9" i="6"/>
  <c r="V33" i="6"/>
  <c r="V24" i="6"/>
  <c r="V36" i="6"/>
  <c r="V49" i="6"/>
  <c r="V52" i="6"/>
  <c r="V13" i="6"/>
  <c r="L60" i="5"/>
  <c r="N60" i="5" s="1"/>
  <c r="L61" i="5"/>
  <c r="K61" i="5"/>
  <c r="N61" i="5" s="1"/>
  <c r="V19" i="5"/>
  <c r="V6" i="5"/>
  <c r="V21" i="5"/>
  <c r="V20" i="5"/>
  <c r="V54" i="5"/>
  <c r="V42" i="5"/>
  <c r="V15" i="5"/>
  <c r="V26" i="5"/>
  <c r="V52" i="5"/>
  <c r="V9" i="5"/>
  <c r="V39" i="5"/>
  <c r="V57" i="5"/>
  <c r="V35" i="5"/>
  <c r="V41" i="5"/>
  <c r="V11" i="5"/>
  <c r="V22" i="5"/>
  <c r="V8" i="5"/>
  <c r="V47" i="5"/>
  <c r="V28" i="5"/>
  <c r="V43" i="5"/>
  <c r="V27" i="5"/>
  <c r="V55" i="5"/>
  <c r="V10" i="5"/>
  <c r="V49" i="5"/>
  <c r="V36" i="5"/>
  <c r="V48" i="5"/>
  <c r="V51" i="5"/>
  <c r="V7" i="5"/>
  <c r="V37" i="5"/>
  <c r="V25" i="5"/>
  <c r="V5" i="5"/>
  <c r="V40" i="5"/>
  <c r="V29" i="5"/>
  <c r="V33" i="5"/>
  <c r="V23" i="5"/>
  <c r="V14" i="5"/>
  <c r="V24" i="5"/>
  <c r="V53" i="5"/>
  <c r="V12" i="5"/>
  <c r="V34" i="5"/>
  <c r="V50" i="5"/>
  <c r="V13" i="5"/>
  <c r="W3" i="6"/>
  <c r="X4" i="6" s="1"/>
  <c r="X66" i="6" s="1"/>
  <c r="AE66" i="6" s="1"/>
  <c r="W3" i="2"/>
  <c r="W4" i="2" s="1"/>
  <c r="X4" i="5"/>
  <c r="W4" i="5"/>
  <c r="V61" i="6" l="1"/>
  <c r="Q61" i="6" s="1"/>
  <c r="V60" i="6"/>
  <c r="Q60" i="6" s="1"/>
  <c r="V60" i="5"/>
  <c r="Q60" i="5" s="1"/>
  <c r="W50" i="2"/>
  <c r="W66" i="2"/>
  <c r="V61" i="5"/>
  <c r="Q61" i="5" s="1"/>
  <c r="W43" i="5"/>
  <c r="W66" i="5"/>
  <c r="X47" i="6"/>
  <c r="X29" i="5"/>
  <c r="AE29" i="5" s="1"/>
  <c r="X66" i="5"/>
  <c r="AE66" i="5" s="1"/>
  <c r="X5" i="6"/>
  <c r="AE5" i="6" s="1"/>
  <c r="X7" i="6"/>
  <c r="AE7" i="6" s="1"/>
  <c r="X19" i="6"/>
  <c r="AE19" i="6" s="1"/>
  <c r="X22" i="6"/>
  <c r="AE22" i="6" s="1"/>
  <c r="X12" i="6"/>
  <c r="AE12" i="6" s="1"/>
  <c r="X38" i="6"/>
  <c r="AE38" i="6" s="1"/>
  <c r="X40" i="6"/>
  <c r="AE40" i="6" s="1"/>
  <c r="X34" i="6"/>
  <c r="AE34" i="6" s="1"/>
  <c r="X42" i="6"/>
  <c r="AE42" i="6" s="1"/>
  <c r="W51" i="2"/>
  <c r="X10" i="6"/>
  <c r="AE10" i="6" s="1"/>
  <c r="X6" i="6"/>
  <c r="AE6" i="6" s="1"/>
  <c r="W27" i="2"/>
  <c r="X33" i="6"/>
  <c r="AE33" i="6" s="1"/>
  <c r="W29" i="2"/>
  <c r="X21" i="6"/>
  <c r="AE21" i="6" s="1"/>
  <c r="W40" i="2"/>
  <c r="X9" i="6"/>
  <c r="AE9" i="6" s="1"/>
  <c r="W7" i="2"/>
  <c r="W6" i="2"/>
  <c r="W55" i="2"/>
  <c r="W36" i="2"/>
  <c r="W12" i="2"/>
  <c r="X49" i="6"/>
  <c r="AE49" i="6" s="1"/>
  <c r="X24" i="6"/>
  <c r="AE24" i="6" s="1"/>
  <c r="X14" i="6"/>
  <c r="AE14" i="6" s="1"/>
  <c r="X52" i="6"/>
  <c r="AE52" i="6" s="1"/>
  <c r="X28" i="6"/>
  <c r="AE28" i="6" s="1"/>
  <c r="W19" i="2"/>
  <c r="X25" i="6"/>
  <c r="AE25" i="6" s="1"/>
  <c r="X54" i="6"/>
  <c r="AE54" i="6" s="1"/>
  <c r="W23" i="2"/>
  <c r="X35" i="6"/>
  <c r="AE35" i="6" s="1"/>
  <c r="W20" i="2"/>
  <c r="X36" i="6"/>
  <c r="AE36" i="6" s="1"/>
  <c r="X53" i="6"/>
  <c r="AE53" i="6" s="1"/>
  <c r="X4" i="2"/>
  <c r="W24" i="2"/>
  <c r="W27" i="5"/>
  <c r="X39" i="6"/>
  <c r="AE39" i="6" s="1"/>
  <c r="X37" i="6"/>
  <c r="AE37" i="6" s="1"/>
  <c r="X26" i="6"/>
  <c r="AE26" i="6" s="1"/>
  <c r="X57" i="6"/>
  <c r="AE57" i="6" s="1"/>
  <c r="W14" i="2"/>
  <c r="X43" i="6"/>
  <c r="AE43" i="6" s="1"/>
  <c r="X29" i="6"/>
  <c r="AE29" i="6" s="1"/>
  <c r="W54" i="5"/>
  <c r="W34" i="2"/>
  <c r="X13" i="6"/>
  <c r="AE13" i="6" s="1"/>
  <c r="W8" i="2"/>
  <c r="X50" i="6"/>
  <c r="AE50" i="6" s="1"/>
  <c r="W53" i="2"/>
  <c r="W54" i="2"/>
  <c r="X8" i="6"/>
  <c r="AE8" i="6" s="1"/>
  <c r="W42" i="2"/>
  <c r="W12" i="5"/>
  <c r="X23" i="6"/>
  <c r="AE23" i="6" s="1"/>
  <c r="W9" i="2"/>
  <c r="X27" i="6"/>
  <c r="AE27" i="6" s="1"/>
  <c r="W50" i="5"/>
  <c r="W37" i="2"/>
  <c r="W52" i="2"/>
  <c r="X55" i="6"/>
  <c r="AE55" i="6" s="1"/>
  <c r="X5" i="5"/>
  <c r="AE5" i="5" s="1"/>
  <c r="X11" i="6"/>
  <c r="AE11" i="6" s="1"/>
  <c r="W21" i="2"/>
  <c r="X56" i="6"/>
  <c r="AE56" i="6" s="1"/>
  <c r="X11" i="5"/>
  <c r="AE11" i="5" s="1"/>
  <c r="X48" i="6"/>
  <c r="AE48" i="6" s="1"/>
  <c r="W57" i="2"/>
  <c r="X51" i="6"/>
  <c r="AE51" i="6" s="1"/>
  <c r="X14" i="5"/>
  <c r="AE14" i="5" s="1"/>
  <c r="W4" i="6"/>
  <c r="W66" i="6" s="1"/>
  <c r="W28" i="2"/>
  <c r="X41" i="6"/>
  <c r="AE41" i="6" s="1"/>
  <c r="X20" i="6"/>
  <c r="AE20" i="6" s="1"/>
  <c r="X15" i="6"/>
  <c r="AE15" i="6" s="1"/>
  <c r="W26" i="2"/>
  <c r="W39" i="2"/>
  <c r="W13" i="2"/>
  <c r="W43" i="2"/>
  <c r="W33" i="2"/>
  <c r="W10" i="2"/>
  <c r="X22" i="5"/>
  <c r="AE22" i="5" s="1"/>
  <c r="W33" i="5"/>
  <c r="W6" i="5"/>
  <c r="W35" i="5"/>
  <c r="W53" i="5"/>
  <c r="X23" i="5"/>
  <c r="AE23" i="5" s="1"/>
  <c r="X33" i="5"/>
  <c r="AE33" i="5" s="1"/>
  <c r="W34" i="5"/>
  <c r="X10" i="5"/>
  <c r="AE10" i="5" s="1"/>
  <c r="W19" i="5"/>
  <c r="X19" i="5"/>
  <c r="AE19" i="5" s="1"/>
  <c r="W37" i="5"/>
  <c r="X20" i="5"/>
  <c r="AE20" i="5" s="1"/>
  <c r="W40" i="5"/>
  <c r="X38" i="5"/>
  <c r="AE38" i="5" s="1"/>
  <c r="W24" i="5"/>
  <c r="W11" i="5"/>
  <c r="X12" i="5"/>
  <c r="AE12" i="5" s="1"/>
  <c r="X53" i="5"/>
  <c r="AE53" i="5" s="1"/>
  <c r="W22" i="5"/>
  <c r="W48" i="5"/>
  <c r="W52" i="5"/>
  <c r="W51" i="5"/>
  <c r="X40" i="5"/>
  <c r="AE40" i="5" s="1"/>
  <c r="X21" i="5"/>
  <c r="AE21" i="5" s="1"/>
  <c r="W49" i="5"/>
  <c r="W15" i="5"/>
  <c r="X39" i="5"/>
  <c r="AE39" i="5" s="1"/>
  <c r="X55" i="5"/>
  <c r="AE55" i="5" s="1"/>
  <c r="W38" i="5"/>
  <c r="X36" i="5"/>
  <c r="AE36" i="5" s="1"/>
  <c r="X9" i="5"/>
  <c r="AE9" i="5" s="1"/>
  <c r="W39" i="5"/>
  <c r="X50" i="5"/>
  <c r="AE50" i="5" s="1"/>
  <c r="X8" i="5"/>
  <c r="AE8" i="5" s="1"/>
  <c r="W41" i="5"/>
  <c r="X41" i="5"/>
  <c r="AE41" i="5" s="1"/>
  <c r="W5" i="5"/>
  <c r="W49" i="2"/>
  <c r="W42" i="5"/>
  <c r="W48" i="2"/>
  <c r="W9" i="5"/>
  <c r="W23" i="5"/>
  <c r="X35" i="5"/>
  <c r="AE35" i="5" s="1"/>
  <c r="W41" i="2"/>
  <c r="W8" i="5"/>
  <c r="W14" i="5"/>
  <c r="X25" i="5"/>
  <c r="AE25" i="5" s="1"/>
  <c r="W47" i="2"/>
  <c r="W56" i="5"/>
  <c r="W25" i="5"/>
  <c r="X37" i="5"/>
  <c r="AE37" i="5" s="1"/>
  <c r="W15" i="2"/>
  <c r="W56" i="2"/>
  <c r="W55" i="5"/>
  <c r="W47" i="5"/>
  <c r="X15" i="5"/>
  <c r="AE15" i="5" s="1"/>
  <c r="W35" i="2"/>
  <c r="W25" i="2"/>
  <c r="W26" i="5"/>
  <c r="W13" i="5"/>
  <c r="X52" i="5"/>
  <c r="AE52" i="5" s="1"/>
  <c r="W38" i="2"/>
  <c r="W57" i="5"/>
  <c r="W20" i="5"/>
  <c r="X34" i="5"/>
  <c r="AE34" i="5" s="1"/>
  <c r="X13" i="5"/>
  <c r="AE13" i="5" s="1"/>
  <c r="W22" i="2"/>
  <c r="W10" i="5"/>
  <c r="X47" i="5"/>
  <c r="X56" i="5"/>
  <c r="AE56" i="5" s="1"/>
  <c r="X54" i="5"/>
  <c r="AE54" i="5" s="1"/>
  <c r="X6" i="5"/>
  <c r="AE6" i="5" s="1"/>
  <c r="W29" i="5"/>
  <c r="X57" i="5"/>
  <c r="AE57" i="5" s="1"/>
  <c r="X7" i="5"/>
  <c r="AE7" i="5" s="1"/>
  <c r="W36" i="5"/>
  <c r="X24" i="5"/>
  <c r="AE24" i="5" s="1"/>
  <c r="X26" i="5"/>
  <c r="AE26" i="5" s="1"/>
  <c r="W21" i="5"/>
  <c r="X28" i="5"/>
  <c r="AE28" i="5" s="1"/>
  <c r="X43" i="5"/>
  <c r="AE43" i="5" s="1"/>
  <c r="W11" i="2"/>
  <c r="W7" i="5"/>
  <c r="W28" i="5"/>
  <c r="X27" i="5"/>
  <c r="AE27" i="5" s="1"/>
  <c r="X42" i="5"/>
  <c r="AE42" i="5" s="1"/>
  <c r="X48" i="5"/>
  <c r="AE48" i="5" s="1"/>
  <c r="X51" i="5"/>
  <c r="AE51" i="5" s="1"/>
  <c r="X49" i="5"/>
  <c r="AE49" i="5" s="1"/>
  <c r="R60" i="2"/>
  <c r="S60" i="2"/>
  <c r="S60" i="6"/>
  <c r="R60" i="6"/>
  <c r="R61" i="2"/>
  <c r="S61" i="2"/>
  <c r="S61" i="6"/>
  <c r="R61" i="6"/>
  <c r="R60" i="5"/>
  <c r="R61" i="5"/>
  <c r="S61" i="5"/>
  <c r="I3" i="17" s="1"/>
  <c r="S60" i="5"/>
  <c r="H2" i="17"/>
  <c r="I2" i="17"/>
  <c r="H3" i="17"/>
  <c r="U61" i="6" l="1"/>
  <c r="U61" i="2"/>
  <c r="U60" i="6"/>
  <c r="U60" i="2"/>
  <c r="U61" i="5"/>
  <c r="U60" i="5"/>
  <c r="Z66" i="6"/>
  <c r="Y66" i="6"/>
  <c r="Z50" i="5"/>
  <c r="Y50" i="5"/>
  <c r="Z66" i="5"/>
  <c r="Y66" i="5"/>
  <c r="Z47" i="5"/>
  <c r="Y47" i="5"/>
  <c r="Y42" i="5"/>
  <c r="Z42" i="5"/>
  <c r="Y34" i="5"/>
  <c r="Z34" i="5"/>
  <c r="Z43" i="5"/>
  <c r="Y43" i="5"/>
  <c r="Z55" i="5"/>
  <c r="Y55" i="5"/>
  <c r="Y51" i="5"/>
  <c r="Z51" i="5"/>
  <c r="Z5" i="5"/>
  <c r="Y5" i="5"/>
  <c r="Z52" i="5"/>
  <c r="Y52" i="5"/>
  <c r="Z28" i="5"/>
  <c r="Y28" i="5"/>
  <c r="Y10" i="5"/>
  <c r="Z10" i="5"/>
  <c r="Y48" i="5"/>
  <c r="Z48" i="5"/>
  <c r="Y53" i="5"/>
  <c r="Z53" i="5"/>
  <c r="Y12" i="5"/>
  <c r="Z12" i="5"/>
  <c r="Z22" i="5"/>
  <c r="Y22" i="5"/>
  <c r="Z27" i="5"/>
  <c r="Y27" i="5"/>
  <c r="Z56" i="5"/>
  <c r="Y56" i="5"/>
  <c r="Z33" i="5"/>
  <c r="Y33" i="5"/>
  <c r="Z20" i="5"/>
  <c r="Y20" i="5"/>
  <c r="Z39" i="5"/>
  <c r="Y39" i="5"/>
  <c r="Z11" i="5"/>
  <c r="Y11" i="5"/>
  <c r="Y25" i="5"/>
  <c r="Z25" i="5"/>
  <c r="Y24" i="5"/>
  <c r="Z24" i="5"/>
  <c r="Z14" i="5"/>
  <c r="Y14" i="5"/>
  <c r="Z41" i="5"/>
  <c r="Y41" i="5"/>
  <c r="Z57" i="5"/>
  <c r="Y57" i="5"/>
  <c r="Z8" i="5"/>
  <c r="Y8" i="5"/>
  <c r="Z38" i="5"/>
  <c r="Y38" i="5"/>
  <c r="Z36" i="5"/>
  <c r="Y36" i="5"/>
  <c r="Y13" i="5"/>
  <c r="Z13" i="5"/>
  <c r="Z7" i="5"/>
  <c r="Y7" i="5"/>
  <c r="Z35" i="5"/>
  <c r="Y35" i="5"/>
  <c r="Y6" i="5"/>
  <c r="Z6" i="5"/>
  <c r="Y21" i="5"/>
  <c r="Z21" i="5"/>
  <c r="Y40" i="5"/>
  <c r="Z40" i="5"/>
  <c r="Z26" i="5"/>
  <c r="Y26" i="5"/>
  <c r="Y37" i="5"/>
  <c r="Z37" i="5"/>
  <c r="Z54" i="5"/>
  <c r="Y54" i="5"/>
  <c r="Y23" i="5"/>
  <c r="Z23" i="5"/>
  <c r="Y15" i="5"/>
  <c r="Z15" i="5"/>
  <c r="Z29" i="5"/>
  <c r="Y29" i="5"/>
  <c r="Z9" i="5"/>
  <c r="Y9" i="5"/>
  <c r="Z49" i="5"/>
  <c r="Y49" i="5"/>
  <c r="Z19" i="5"/>
  <c r="Y19" i="5"/>
  <c r="AD38" i="2"/>
  <c r="AD49" i="2"/>
  <c r="AD28" i="2"/>
  <c r="AD8" i="2"/>
  <c r="AD19" i="2"/>
  <c r="AE47" i="6"/>
  <c r="AE58" i="6" s="1"/>
  <c r="X58" i="6"/>
  <c r="AD21" i="2"/>
  <c r="AD56" i="2"/>
  <c r="AD15" i="2"/>
  <c r="AD40" i="2"/>
  <c r="AD66" i="2"/>
  <c r="AB66" i="6"/>
  <c r="AC66" i="6" s="1"/>
  <c r="AD66" i="6"/>
  <c r="AA66" i="6"/>
  <c r="AD11" i="2"/>
  <c r="AD57" i="2"/>
  <c r="AD55" i="2"/>
  <c r="AD7" i="2"/>
  <c r="AD52" i="2"/>
  <c r="AD24" i="2"/>
  <c r="AD10" i="2"/>
  <c r="AD25" i="2"/>
  <c r="AD34" i="2"/>
  <c r="AD12" i="2"/>
  <c r="AD6" i="2"/>
  <c r="AD50" i="2"/>
  <c r="X8" i="2"/>
  <c r="AE8" i="2" s="1"/>
  <c r="X66" i="2"/>
  <c r="AE66" i="2" s="1"/>
  <c r="AD27" i="2"/>
  <c r="AD43" i="2"/>
  <c r="AD20" i="2"/>
  <c r="AD14" i="2"/>
  <c r="AD29" i="2"/>
  <c r="AD37" i="2"/>
  <c r="AD42" i="2"/>
  <c r="AD48" i="2"/>
  <c r="AD35" i="2"/>
  <c r="AD23" i="2"/>
  <c r="AD26" i="2"/>
  <c r="AD53" i="2"/>
  <c r="AD36" i="2"/>
  <c r="AD47" i="2"/>
  <c r="AD33" i="2"/>
  <c r="AD9" i="2"/>
  <c r="AD51" i="2"/>
  <c r="AD41" i="2"/>
  <c r="AD13" i="2"/>
  <c r="AD22" i="2"/>
  <c r="AD39" i="2"/>
  <c r="AD54" i="2"/>
  <c r="AD13" i="5"/>
  <c r="AD28" i="5"/>
  <c r="AD37" i="5"/>
  <c r="AD23" i="5"/>
  <c r="AD7" i="5"/>
  <c r="AD19" i="5"/>
  <c r="AD55" i="5"/>
  <c r="AD53" i="5"/>
  <c r="AD57" i="5"/>
  <c r="AD24" i="5"/>
  <c r="AD5" i="5"/>
  <c r="AD26" i="5"/>
  <c r="AD25" i="5"/>
  <c r="AD12" i="5"/>
  <c r="AD54" i="5"/>
  <c r="AD47" i="5"/>
  <c r="W58" i="5"/>
  <c r="AD36" i="5"/>
  <c r="AD15" i="5"/>
  <c r="AD29" i="5"/>
  <c r="AD56" i="5"/>
  <c r="AD49" i="5"/>
  <c r="AD33" i="5"/>
  <c r="AD42" i="5"/>
  <c r="AD14" i="5"/>
  <c r="AD50" i="5"/>
  <c r="AD51" i="5"/>
  <c r="AE47" i="5"/>
  <c r="AE58" i="5" s="1"/>
  <c r="X58" i="5"/>
  <c r="AD8" i="5"/>
  <c r="AD43" i="5"/>
  <c r="AD20" i="5"/>
  <c r="AD11" i="5"/>
  <c r="AD40" i="5"/>
  <c r="AD38" i="5"/>
  <c r="AD10" i="5"/>
  <c r="AD9" i="5"/>
  <c r="AD41" i="5"/>
  <c r="AD39" i="5"/>
  <c r="AD34" i="5"/>
  <c r="AD35" i="5"/>
  <c r="AD22" i="5"/>
  <c r="AD27" i="5"/>
  <c r="W51" i="6"/>
  <c r="AD66" i="5"/>
  <c r="AB66" i="5"/>
  <c r="AC66" i="5" s="1"/>
  <c r="AA66" i="5"/>
  <c r="X50" i="2"/>
  <c r="AE50" i="2" s="1"/>
  <c r="X5" i="2"/>
  <c r="AE5" i="2" s="1"/>
  <c r="X28" i="2"/>
  <c r="AE28" i="2" s="1"/>
  <c r="X24" i="2"/>
  <c r="AE24" i="2" s="1"/>
  <c r="X14" i="2"/>
  <c r="AE14" i="2" s="1"/>
  <c r="AA21" i="5"/>
  <c r="AA6" i="5"/>
  <c r="W41" i="6"/>
  <c r="W24" i="6"/>
  <c r="W20" i="6"/>
  <c r="W47" i="6"/>
  <c r="W22" i="6"/>
  <c r="W19" i="6"/>
  <c r="W14" i="6"/>
  <c r="W55" i="6"/>
  <c r="W52" i="6"/>
  <c r="W43" i="6"/>
  <c r="W38" i="6"/>
  <c r="W7" i="6"/>
  <c r="W33" i="6"/>
  <c r="W26" i="6"/>
  <c r="W25" i="6"/>
  <c r="W13" i="6"/>
  <c r="W6" i="6"/>
  <c r="X40" i="2"/>
  <c r="AE40" i="2" s="1"/>
  <c r="X47" i="2"/>
  <c r="Z47" i="2" s="1"/>
  <c r="X22" i="2"/>
  <c r="AE22" i="2" s="1"/>
  <c r="W40" i="6"/>
  <c r="W23" i="6"/>
  <c r="W37" i="6"/>
  <c r="X48" i="2"/>
  <c r="AE48" i="2" s="1"/>
  <c r="X53" i="2"/>
  <c r="AE53" i="2" s="1"/>
  <c r="W54" i="6"/>
  <c r="W10" i="6"/>
  <c r="X29" i="2"/>
  <c r="AE29" i="2" s="1"/>
  <c r="X38" i="2"/>
  <c r="AE38" i="2" s="1"/>
  <c r="X49" i="2"/>
  <c r="AE49" i="2" s="1"/>
  <c r="X15" i="2"/>
  <c r="AE15" i="2" s="1"/>
  <c r="W28" i="6"/>
  <c r="W8" i="6"/>
  <c r="X34" i="2"/>
  <c r="AE34" i="2" s="1"/>
  <c r="X54" i="2"/>
  <c r="AE54" i="2" s="1"/>
  <c r="X20" i="2"/>
  <c r="AE20" i="2" s="1"/>
  <c r="W42" i="6"/>
  <c r="X26" i="2"/>
  <c r="AE26" i="2" s="1"/>
  <c r="W15" i="6"/>
  <c r="W36" i="6"/>
  <c r="X56" i="2"/>
  <c r="AE56" i="2" s="1"/>
  <c r="X21" i="2"/>
  <c r="AE21" i="2" s="1"/>
  <c r="W29" i="6"/>
  <c r="X51" i="2"/>
  <c r="AE51" i="2" s="1"/>
  <c r="X9" i="2"/>
  <c r="AE9" i="2" s="1"/>
  <c r="X10" i="2"/>
  <c r="AE10" i="2" s="1"/>
  <c r="X23" i="2"/>
  <c r="AE23" i="2" s="1"/>
  <c r="W56" i="6"/>
  <c r="W21" i="6"/>
  <c r="X52" i="2"/>
  <c r="AE52" i="2" s="1"/>
  <c r="X25" i="2"/>
  <c r="AE25" i="2" s="1"/>
  <c r="W53" i="6"/>
  <c r="X43" i="2"/>
  <c r="AE43" i="2" s="1"/>
  <c r="X39" i="2"/>
  <c r="AE39" i="2" s="1"/>
  <c r="W50" i="6"/>
  <c r="X7" i="2"/>
  <c r="AE7" i="2" s="1"/>
  <c r="X27" i="2"/>
  <c r="AE27" i="2" s="1"/>
  <c r="X36" i="2"/>
  <c r="AE36" i="2" s="1"/>
  <c r="W9" i="6"/>
  <c r="X19" i="2"/>
  <c r="AE19" i="2" s="1"/>
  <c r="W39" i="6"/>
  <c r="X6" i="2"/>
  <c r="AE6" i="2" s="1"/>
  <c r="W12" i="6"/>
  <c r="X35" i="2"/>
  <c r="AE35" i="2" s="1"/>
  <c r="W34" i="6"/>
  <c r="W5" i="6"/>
  <c r="W57" i="6"/>
  <c r="X13" i="2"/>
  <c r="AE13" i="2" s="1"/>
  <c r="X42" i="2"/>
  <c r="AE42" i="2" s="1"/>
  <c r="X41" i="2"/>
  <c r="AE41" i="2" s="1"/>
  <c r="W48" i="6"/>
  <c r="X33" i="2"/>
  <c r="AE33" i="2" s="1"/>
  <c r="W49" i="6"/>
  <c r="W11" i="6"/>
  <c r="W35" i="6"/>
  <c r="W27" i="6"/>
  <c r="AA54" i="5"/>
  <c r="AA14" i="5"/>
  <c r="AB14" i="5"/>
  <c r="AB54" i="5"/>
  <c r="AB35" i="5"/>
  <c r="X37" i="2"/>
  <c r="AE37" i="2" s="1"/>
  <c r="X12" i="2"/>
  <c r="AE12" i="2" s="1"/>
  <c r="X57" i="2"/>
  <c r="AE57" i="2" s="1"/>
  <c r="AB29" i="5"/>
  <c r="AD21" i="5"/>
  <c r="X11" i="2"/>
  <c r="AE11" i="2" s="1"/>
  <c r="X55" i="2"/>
  <c r="AE55" i="2" s="1"/>
  <c r="AA24" i="5"/>
  <c r="AA55" i="5"/>
  <c r="AB40" i="5"/>
  <c r="AB6" i="5"/>
  <c r="AA33" i="5"/>
  <c r="AB52" i="5"/>
  <c r="AB25" i="5"/>
  <c r="AA48" i="5"/>
  <c r="AA19" i="5"/>
  <c r="AA26" i="5"/>
  <c r="AA25" i="5"/>
  <c r="AA29" i="5"/>
  <c r="AA8" i="5"/>
  <c r="AA35" i="5"/>
  <c r="AA51" i="5"/>
  <c r="AB39" i="5"/>
  <c r="AB10" i="5"/>
  <c r="AD6" i="5"/>
  <c r="AA39" i="5"/>
  <c r="AA10" i="5"/>
  <c r="AA52" i="5"/>
  <c r="AA38" i="5"/>
  <c r="AB41" i="5"/>
  <c r="AB48" i="5"/>
  <c r="AB5" i="5"/>
  <c r="AD48" i="5"/>
  <c r="AD52" i="5"/>
  <c r="AA50" i="5"/>
  <c r="AB57" i="5"/>
  <c r="AB51" i="5"/>
  <c r="AB36" i="5"/>
  <c r="AB28" i="5"/>
  <c r="AB8" i="5"/>
  <c r="AB47" i="5"/>
  <c r="AA7" i="5"/>
  <c r="AB7" i="5"/>
  <c r="AA15" i="5"/>
  <c r="AB33" i="5"/>
  <c r="AA36" i="5"/>
  <c r="AA5" i="5"/>
  <c r="AA27" i="5"/>
  <c r="AA22" i="5"/>
  <c r="AB23" i="5"/>
  <c r="AA23" i="5"/>
  <c r="AB37" i="5"/>
  <c r="AB34" i="5"/>
  <c r="AB15" i="5"/>
  <c r="AB19" i="5"/>
  <c r="AA34" i="5"/>
  <c r="AA57" i="5"/>
  <c r="AB53" i="5"/>
  <c r="AB13" i="5"/>
  <c r="AB50" i="5"/>
  <c r="AA42" i="5"/>
  <c r="AA56" i="5"/>
  <c r="AB43" i="5"/>
  <c r="AA40" i="5"/>
  <c r="AB12" i="5"/>
  <c r="AB56" i="5"/>
  <c r="AA53" i="5"/>
  <c r="AB20" i="5"/>
  <c r="AB9" i="5"/>
  <c r="AB42" i="5"/>
  <c r="AB26" i="5"/>
  <c r="AA37" i="5"/>
  <c r="AB22" i="5"/>
  <c r="AB49" i="5"/>
  <c r="AA49" i="5"/>
  <c r="AA12" i="5"/>
  <c r="AB38" i="5"/>
  <c r="AB21" i="5"/>
  <c r="AA28" i="5"/>
  <c r="AA11" i="5"/>
  <c r="AA20" i="5"/>
  <c r="AB24" i="5"/>
  <c r="AA43" i="5"/>
  <c r="AA13" i="5"/>
  <c r="AA41" i="5"/>
  <c r="AB11" i="5"/>
  <c r="AA47" i="5"/>
  <c r="AB55" i="5"/>
  <c r="AA9" i="5"/>
  <c r="AB27" i="5"/>
  <c r="AA60" i="5" l="1"/>
  <c r="AA61" i="5"/>
  <c r="AF42" i="2"/>
  <c r="AF52" i="2"/>
  <c r="AF8" i="2"/>
  <c r="AF34" i="2"/>
  <c r="AF25" i="2"/>
  <c r="AF35" i="2"/>
  <c r="Z12" i="6"/>
  <c r="Y12" i="6"/>
  <c r="Z25" i="6"/>
  <c r="Y25" i="6"/>
  <c r="AI9" i="5"/>
  <c r="AG9" i="5"/>
  <c r="AF9" i="5"/>
  <c r="AI56" i="5"/>
  <c r="AG56" i="5"/>
  <c r="AF56" i="5"/>
  <c r="AI7" i="5"/>
  <c r="AG7" i="5"/>
  <c r="AF7" i="5"/>
  <c r="AF26" i="2"/>
  <c r="AF21" i="2"/>
  <c r="Y56" i="2"/>
  <c r="Y39" i="2"/>
  <c r="Y26" i="6"/>
  <c r="Z26" i="6"/>
  <c r="AI10" i="5"/>
  <c r="AG10" i="5"/>
  <c r="AF10" i="5"/>
  <c r="AI29" i="5"/>
  <c r="AG29" i="5"/>
  <c r="AF29" i="5"/>
  <c r="AI23" i="5"/>
  <c r="AG23" i="5"/>
  <c r="AF23" i="5"/>
  <c r="AF23" i="2"/>
  <c r="Y49" i="2"/>
  <c r="Y13" i="2"/>
  <c r="Z39" i="6"/>
  <c r="Y39" i="6"/>
  <c r="Z33" i="6"/>
  <c r="Y33" i="6"/>
  <c r="AH38" i="5"/>
  <c r="AG38" i="5"/>
  <c r="AF38" i="5"/>
  <c r="AH15" i="5"/>
  <c r="AG15" i="5"/>
  <c r="AF15" i="5"/>
  <c r="AI37" i="5"/>
  <c r="AG37" i="5"/>
  <c r="AF37" i="5"/>
  <c r="AF10" i="2"/>
  <c r="Y55" i="2"/>
  <c r="Y51" i="2"/>
  <c r="Y38" i="2"/>
  <c r="Z27" i="6"/>
  <c r="Y27" i="6"/>
  <c r="Y7" i="6"/>
  <c r="Z7" i="6"/>
  <c r="AI40" i="5"/>
  <c r="AG40" i="5"/>
  <c r="AF40" i="5"/>
  <c r="AH36" i="5"/>
  <c r="AF36" i="5"/>
  <c r="AG36" i="5"/>
  <c r="AH28" i="5"/>
  <c r="AF28" i="5"/>
  <c r="AG28" i="5"/>
  <c r="AF48" i="2"/>
  <c r="AF24" i="2"/>
  <c r="AF19" i="2"/>
  <c r="Y54" i="2"/>
  <c r="Y28" i="2"/>
  <c r="Y23" i="2"/>
  <c r="Z29" i="6"/>
  <c r="Y29" i="6"/>
  <c r="AI13" i="5"/>
  <c r="AG13" i="5"/>
  <c r="AF13" i="5"/>
  <c r="Y36" i="2"/>
  <c r="Y11" i="2"/>
  <c r="Y41" i="2"/>
  <c r="Y10" i="6"/>
  <c r="Z10" i="6"/>
  <c r="AF6" i="5"/>
  <c r="AG6" i="5"/>
  <c r="Z11" i="6"/>
  <c r="Y11" i="6"/>
  <c r="Z54" i="6"/>
  <c r="Y54" i="6"/>
  <c r="Z43" i="6"/>
  <c r="Y43" i="6"/>
  <c r="AH20" i="5"/>
  <c r="AG20" i="5"/>
  <c r="AF20" i="5"/>
  <c r="AF47" i="5"/>
  <c r="AG47" i="5"/>
  <c r="AF54" i="2"/>
  <c r="AF37" i="2"/>
  <c r="AF7" i="2"/>
  <c r="AF28" i="2"/>
  <c r="Y24" i="2"/>
  <c r="Y14" i="2"/>
  <c r="Y40" i="2"/>
  <c r="AH11" i="5"/>
  <c r="AG11" i="5"/>
  <c r="AF11" i="5"/>
  <c r="Z49" i="6"/>
  <c r="Y49" i="6"/>
  <c r="Z52" i="6"/>
  <c r="Y52" i="6"/>
  <c r="AH43" i="5"/>
  <c r="AG43" i="5"/>
  <c r="AF43" i="5"/>
  <c r="AH54" i="5"/>
  <c r="AG54" i="5"/>
  <c r="AF54" i="5"/>
  <c r="AF39" i="2"/>
  <c r="AF29" i="2"/>
  <c r="AF55" i="2"/>
  <c r="AF49" i="2"/>
  <c r="Y57" i="2"/>
  <c r="Y48" i="2"/>
  <c r="Y43" i="2"/>
  <c r="Z38" i="6"/>
  <c r="Y38" i="6"/>
  <c r="Z36" i="6"/>
  <c r="Y36" i="6"/>
  <c r="Z55" i="6"/>
  <c r="Y55" i="6"/>
  <c r="AG8" i="5"/>
  <c r="AF8" i="5"/>
  <c r="AI12" i="5"/>
  <c r="AG12" i="5"/>
  <c r="AF12" i="5"/>
  <c r="AF22" i="2"/>
  <c r="AF14" i="2"/>
  <c r="AF57" i="2"/>
  <c r="AF38" i="2"/>
  <c r="Y12" i="2"/>
  <c r="Y35" i="2"/>
  <c r="Y20" i="2"/>
  <c r="Y48" i="6"/>
  <c r="Z48" i="6"/>
  <c r="Z50" i="6"/>
  <c r="Y50" i="6"/>
  <c r="Y15" i="6"/>
  <c r="Z15" i="6"/>
  <c r="Y37" i="6"/>
  <c r="Z37" i="6"/>
  <c r="Z14" i="6"/>
  <c r="Y14" i="6"/>
  <c r="AG66" i="5"/>
  <c r="AF66" i="5"/>
  <c r="AI25" i="5"/>
  <c r="AF25" i="5"/>
  <c r="AG25" i="5"/>
  <c r="AF13" i="2"/>
  <c r="AF20" i="2"/>
  <c r="AF11" i="2"/>
  <c r="Y42" i="2"/>
  <c r="Y27" i="2"/>
  <c r="Y8" i="2"/>
  <c r="Z9" i="6"/>
  <c r="Y9" i="6"/>
  <c r="AG21" i="5"/>
  <c r="AF21" i="5"/>
  <c r="Z23" i="6"/>
  <c r="Y23" i="6"/>
  <c r="Z19" i="6"/>
  <c r="Y19" i="6"/>
  <c r="Z51" i="6"/>
  <c r="Y51" i="6"/>
  <c r="AI26" i="5"/>
  <c r="AG26" i="5"/>
  <c r="AF26" i="5"/>
  <c r="AF41" i="2"/>
  <c r="AF43" i="2"/>
  <c r="Y22" i="2"/>
  <c r="Y19" i="2"/>
  <c r="Y21" i="2"/>
  <c r="Z42" i="6"/>
  <c r="Y42" i="6"/>
  <c r="Z40" i="6"/>
  <c r="Y40" i="6"/>
  <c r="Z22" i="6"/>
  <c r="Y22" i="6"/>
  <c r="AH27" i="5"/>
  <c r="AG27" i="5"/>
  <c r="AF27" i="5"/>
  <c r="AH51" i="5"/>
  <c r="AG51" i="5"/>
  <c r="AF51" i="5"/>
  <c r="AI5" i="5"/>
  <c r="AG5" i="5"/>
  <c r="AF5" i="5"/>
  <c r="AF51" i="2"/>
  <c r="AF27" i="2"/>
  <c r="AG66" i="6"/>
  <c r="AF66" i="6"/>
  <c r="Y50" i="2"/>
  <c r="Y37" i="2"/>
  <c r="Y33" i="2"/>
  <c r="Z53" i="6"/>
  <c r="Y53" i="6"/>
  <c r="Z47" i="6"/>
  <c r="Y47" i="6"/>
  <c r="AI22" i="5"/>
  <c r="AG22" i="5"/>
  <c r="AF22" i="5"/>
  <c r="AI50" i="5"/>
  <c r="AF50" i="5"/>
  <c r="AG50" i="5"/>
  <c r="AI24" i="5"/>
  <c r="AG24" i="5"/>
  <c r="AF24" i="5"/>
  <c r="AF9" i="2"/>
  <c r="Y15" i="2"/>
  <c r="Y34" i="2"/>
  <c r="Y47" i="2"/>
  <c r="Z57" i="6"/>
  <c r="Y57" i="6"/>
  <c r="Z20" i="6"/>
  <c r="Y20" i="6"/>
  <c r="AH35" i="5"/>
  <c r="AG35" i="5"/>
  <c r="AF35" i="5"/>
  <c r="AH14" i="5"/>
  <c r="AF14" i="5"/>
  <c r="AG14" i="5"/>
  <c r="AH57" i="5"/>
  <c r="AG57" i="5"/>
  <c r="AF57" i="5"/>
  <c r="AF33" i="2"/>
  <c r="AF66" i="2"/>
  <c r="Y9" i="2"/>
  <c r="Y52" i="2"/>
  <c r="Y7" i="2"/>
  <c r="Z35" i="6"/>
  <c r="Y35" i="6"/>
  <c r="Z5" i="6"/>
  <c r="Y5" i="6"/>
  <c r="Z24" i="6"/>
  <c r="Y24" i="6"/>
  <c r="AG34" i="5"/>
  <c r="AF34" i="5"/>
  <c r="AH42" i="5"/>
  <c r="AG42" i="5"/>
  <c r="AF42" i="5"/>
  <c r="AG53" i="5"/>
  <c r="AF53" i="5"/>
  <c r="AG50" i="2"/>
  <c r="AF50" i="2"/>
  <c r="AF40" i="2"/>
  <c r="Y66" i="2"/>
  <c r="Y26" i="2"/>
  <c r="Y10" i="2"/>
  <c r="AG52" i="5"/>
  <c r="AF52" i="5"/>
  <c r="AG48" i="5"/>
  <c r="AF48" i="5"/>
  <c r="Z34" i="6"/>
  <c r="Y34" i="6"/>
  <c r="Z21" i="6"/>
  <c r="Y21" i="6"/>
  <c r="Z8" i="6"/>
  <c r="Y8" i="6"/>
  <c r="Z6" i="6"/>
  <c r="Y6" i="6"/>
  <c r="Z41" i="6"/>
  <c r="Y41" i="6"/>
  <c r="AH39" i="5"/>
  <c r="AF39" i="5"/>
  <c r="AG39" i="5"/>
  <c r="AI33" i="5"/>
  <c r="AG33" i="5"/>
  <c r="AF33" i="5"/>
  <c r="AH55" i="5"/>
  <c r="AF55" i="5"/>
  <c r="AG55" i="5"/>
  <c r="AF36" i="2"/>
  <c r="AF6" i="2"/>
  <c r="AF15" i="2"/>
  <c r="Y25" i="2"/>
  <c r="Y6" i="2"/>
  <c r="Y56" i="6"/>
  <c r="Z56" i="6"/>
  <c r="Z28" i="6"/>
  <c r="Y28" i="6"/>
  <c r="Z13" i="6"/>
  <c r="Y13" i="6"/>
  <c r="AH41" i="5"/>
  <c r="AG41" i="5"/>
  <c r="AF41" i="5"/>
  <c r="AG49" i="5"/>
  <c r="AF49" i="5"/>
  <c r="AI19" i="5"/>
  <c r="AG19" i="5"/>
  <c r="AF19" i="5"/>
  <c r="AF53" i="2"/>
  <c r="AF12" i="2"/>
  <c r="AF56" i="2"/>
  <c r="Y29" i="2"/>
  <c r="Y53" i="2"/>
  <c r="AG21" i="2"/>
  <c r="Z66" i="2"/>
  <c r="AG66" i="2"/>
  <c r="AG51" i="2"/>
  <c r="Z50" i="2"/>
  <c r="AG35" i="2"/>
  <c r="AG56" i="2"/>
  <c r="AG48" i="2"/>
  <c r="AG33" i="2"/>
  <c r="Z38" i="2"/>
  <c r="AG11" i="2"/>
  <c r="AG27" i="2"/>
  <c r="Z36" i="2"/>
  <c r="AG36" i="2"/>
  <c r="Z29" i="2"/>
  <c r="Z39" i="2"/>
  <c r="AG9" i="2"/>
  <c r="AG53" i="2"/>
  <c r="AG6" i="2"/>
  <c r="Z51" i="2"/>
  <c r="Z43" i="2"/>
  <c r="AG40" i="2"/>
  <c r="Z8" i="2"/>
  <c r="AG34" i="2"/>
  <c r="AG25" i="2"/>
  <c r="AG54" i="2"/>
  <c r="AG42" i="2"/>
  <c r="AG24" i="2"/>
  <c r="AG19" i="2"/>
  <c r="Z24" i="2"/>
  <c r="AG23" i="2"/>
  <c r="Z10" i="2"/>
  <c r="AG39" i="2"/>
  <c r="AG37" i="2"/>
  <c r="AG52" i="2"/>
  <c r="AG8" i="2"/>
  <c r="Z37" i="2"/>
  <c r="AG26" i="2"/>
  <c r="AG10" i="2"/>
  <c r="AG22" i="2"/>
  <c r="AG29" i="2"/>
  <c r="AG7" i="2"/>
  <c r="AG28" i="2"/>
  <c r="Z15" i="2"/>
  <c r="AG15" i="2"/>
  <c r="AG12" i="2"/>
  <c r="Z6" i="2"/>
  <c r="AG13" i="2"/>
  <c r="AG14" i="2"/>
  <c r="AG55" i="2"/>
  <c r="AG49" i="2"/>
  <c r="Z49" i="2"/>
  <c r="AG41" i="2"/>
  <c r="AG20" i="2"/>
  <c r="AG57" i="2"/>
  <c r="AG38" i="2"/>
  <c r="AG43" i="2"/>
  <c r="Z23" i="2"/>
  <c r="Z14" i="2"/>
  <c r="Z48" i="2"/>
  <c r="Z26" i="2"/>
  <c r="Z55" i="2"/>
  <c r="Z20" i="2"/>
  <c r="Z27" i="2"/>
  <c r="Z40" i="2"/>
  <c r="Z52" i="2"/>
  <c r="Z56" i="2"/>
  <c r="Z33" i="2"/>
  <c r="Z11" i="2"/>
  <c r="Z53" i="2"/>
  <c r="Z34" i="2"/>
  <c r="Z19" i="2"/>
  <c r="Z25" i="2"/>
  <c r="Z42" i="2"/>
  <c r="Z7" i="2"/>
  <c r="Z13" i="2"/>
  <c r="Z21" i="2"/>
  <c r="Z9" i="2"/>
  <c r="Z41" i="2"/>
  <c r="Z54" i="2"/>
  <c r="Z28" i="2"/>
  <c r="Z57" i="2"/>
  <c r="Z12" i="2"/>
  <c r="Z22" i="2"/>
  <c r="Z35" i="2"/>
  <c r="AH37" i="2"/>
  <c r="AI8" i="2"/>
  <c r="AI28" i="2"/>
  <c r="AA8" i="2"/>
  <c r="AH19" i="2"/>
  <c r="AH8" i="2"/>
  <c r="AI57" i="2"/>
  <c r="AH12" i="2"/>
  <c r="AI38" i="2"/>
  <c r="AH41" i="2"/>
  <c r="AI7" i="2"/>
  <c r="AH49" i="2"/>
  <c r="AI13" i="2"/>
  <c r="AH22" i="2"/>
  <c r="AH34" i="2"/>
  <c r="AI23" i="2"/>
  <c r="AI24" i="2"/>
  <c r="AH21" i="2"/>
  <c r="AH55" i="2"/>
  <c r="AI10" i="2"/>
  <c r="AI11" i="2"/>
  <c r="AH42" i="2"/>
  <c r="AH51" i="2"/>
  <c r="AI35" i="2"/>
  <c r="AH6" i="2"/>
  <c r="AI26" i="2"/>
  <c r="AI9" i="2"/>
  <c r="AD57" i="6"/>
  <c r="AD12" i="6"/>
  <c r="AD15" i="6"/>
  <c r="AD25" i="6"/>
  <c r="AD6" i="6"/>
  <c r="AH20" i="2"/>
  <c r="AB7" i="6"/>
  <c r="AD37" i="6"/>
  <c r="AD29" i="6"/>
  <c r="AE47" i="2"/>
  <c r="AH47" i="2" s="1"/>
  <c r="X58" i="2"/>
  <c r="AD9" i="6"/>
  <c r="AH54" i="2"/>
  <c r="AB38" i="6"/>
  <c r="AC11" i="5"/>
  <c r="AI40" i="2"/>
  <c r="AD33" i="6"/>
  <c r="AD14" i="6"/>
  <c r="AD34" i="6"/>
  <c r="AI56" i="2"/>
  <c r="AD43" i="6"/>
  <c r="AD13" i="6"/>
  <c r="AD51" i="6"/>
  <c r="AH13" i="5"/>
  <c r="AH56" i="5"/>
  <c r="AD50" i="6"/>
  <c r="AI43" i="2"/>
  <c r="AD22" i="6"/>
  <c r="AB27" i="6"/>
  <c r="AD53" i="6"/>
  <c r="AH29" i="2"/>
  <c r="AD47" i="6"/>
  <c r="W58" i="6"/>
  <c r="AC51" i="6" s="1"/>
  <c r="AI66" i="6"/>
  <c r="AJ66" i="6" s="1"/>
  <c r="AH66" i="6"/>
  <c r="AD23" i="6"/>
  <c r="AA5" i="6"/>
  <c r="AD26" i="6"/>
  <c r="AD42" i="6"/>
  <c r="AH36" i="2"/>
  <c r="AA8" i="6"/>
  <c r="AD19" i="6"/>
  <c r="AD35" i="6"/>
  <c r="AH25" i="2"/>
  <c r="AD10" i="6"/>
  <c r="AD20" i="6"/>
  <c r="AD40" i="6"/>
  <c r="AD36" i="6"/>
  <c r="AD55" i="6"/>
  <c r="AB8" i="2"/>
  <c r="AH15" i="2"/>
  <c r="AI52" i="2"/>
  <c r="AB54" i="6"/>
  <c r="AD24" i="6"/>
  <c r="AB66" i="2"/>
  <c r="AC66" i="2" s="1"/>
  <c r="AA49" i="6"/>
  <c r="AD21" i="6"/>
  <c r="AH53" i="2"/>
  <c r="AD41" i="6"/>
  <c r="AH66" i="2"/>
  <c r="AI66" i="2"/>
  <c r="AJ66" i="2" s="1"/>
  <c r="AD48" i="6"/>
  <c r="AI14" i="2"/>
  <c r="AH37" i="5"/>
  <c r="AA39" i="6"/>
  <c r="AH27" i="2"/>
  <c r="AB52" i="6"/>
  <c r="AB28" i="6"/>
  <c r="AI39" i="2"/>
  <c r="AD11" i="6"/>
  <c r="AH33" i="2"/>
  <c r="AD56" i="6"/>
  <c r="AH48" i="2"/>
  <c r="AA66" i="2"/>
  <c r="AH33" i="5"/>
  <c r="AI14" i="5"/>
  <c r="AH10" i="5"/>
  <c r="AI28" i="5"/>
  <c r="AH23" i="5"/>
  <c r="AC24" i="5"/>
  <c r="AC43" i="5"/>
  <c r="AI41" i="5"/>
  <c r="AI15" i="5"/>
  <c r="AI38" i="5"/>
  <c r="AC49" i="5"/>
  <c r="AI39" i="5"/>
  <c r="AH9" i="5"/>
  <c r="AC20" i="5"/>
  <c r="AH26" i="5"/>
  <c r="AC57" i="5"/>
  <c r="AI20" i="5"/>
  <c r="AC55" i="5"/>
  <c r="AI43" i="5"/>
  <c r="AC22" i="5"/>
  <c r="AI51" i="5"/>
  <c r="AH25" i="5"/>
  <c r="AC29" i="5"/>
  <c r="AH12" i="5"/>
  <c r="AC53" i="5"/>
  <c r="AC27" i="5"/>
  <c r="AH50" i="5"/>
  <c r="AH5" i="5"/>
  <c r="AI54" i="5"/>
  <c r="AC15" i="5"/>
  <c r="AI42" i="5"/>
  <c r="AI55" i="5"/>
  <c r="AC56" i="5"/>
  <c r="AC36" i="5"/>
  <c r="AC40" i="5"/>
  <c r="AC7" i="5"/>
  <c r="AC52" i="5"/>
  <c r="AC19" i="5"/>
  <c r="AH47" i="5"/>
  <c r="AC34" i="5"/>
  <c r="AD58" i="5"/>
  <c r="AJ15" i="5" s="1"/>
  <c r="AC8" i="5"/>
  <c r="AC23" i="5"/>
  <c r="AC39" i="5"/>
  <c r="AC51" i="5"/>
  <c r="AH53" i="5"/>
  <c r="AC35" i="5"/>
  <c r="AC12" i="5"/>
  <c r="AC37" i="5"/>
  <c r="AC41" i="5"/>
  <c r="AC50" i="5"/>
  <c r="AC54" i="5"/>
  <c r="AH52" i="5"/>
  <c r="AC25" i="5"/>
  <c r="AC28" i="5"/>
  <c r="AI57" i="5"/>
  <c r="AI6" i="5"/>
  <c r="AH19" i="5"/>
  <c r="AC9" i="5"/>
  <c r="AC14" i="5"/>
  <c r="AI27" i="5"/>
  <c r="AC47" i="5"/>
  <c r="AI49" i="5"/>
  <c r="AI48" i="5"/>
  <c r="AC21" i="5"/>
  <c r="AC13" i="5"/>
  <c r="AH7" i="5"/>
  <c r="AC48" i="5"/>
  <c r="AC42" i="5"/>
  <c r="AC6" i="5"/>
  <c r="AH8" i="5"/>
  <c r="AI11" i="5"/>
  <c r="AI21" i="5"/>
  <c r="AC10" i="5"/>
  <c r="AC26" i="5"/>
  <c r="AI8" i="5"/>
  <c r="AI53" i="5"/>
  <c r="AI36" i="5"/>
  <c r="AH34" i="5"/>
  <c r="AH49" i="5"/>
  <c r="AH40" i="5"/>
  <c r="AC33" i="5"/>
  <c r="AI34" i="5"/>
  <c r="AI47" i="5"/>
  <c r="AH24" i="5"/>
  <c r="AC38" i="5"/>
  <c r="AC5" i="5"/>
  <c r="AH29" i="5"/>
  <c r="AH22" i="5"/>
  <c r="AI35" i="5"/>
  <c r="AA51" i="6"/>
  <c r="AB50" i="2"/>
  <c r="AA50" i="2"/>
  <c r="AB51" i="6"/>
  <c r="AH14" i="2"/>
  <c r="AI66" i="5"/>
  <c r="AJ66" i="5" s="1"/>
  <c r="AH66" i="5"/>
  <c r="AB14" i="2"/>
  <c r="AA14" i="2"/>
  <c r="AH28" i="2"/>
  <c r="AB24" i="2"/>
  <c r="AB28" i="2"/>
  <c r="AH24" i="2"/>
  <c r="AA28" i="2"/>
  <c r="AA24" i="2"/>
  <c r="AH40" i="2"/>
  <c r="AH56" i="2"/>
  <c r="AB20" i="6"/>
  <c r="AA34" i="6"/>
  <c r="AD5" i="6"/>
  <c r="AI21" i="2"/>
  <c r="AH35" i="2"/>
  <c r="AB47" i="2"/>
  <c r="AA22" i="2"/>
  <c r="AA40" i="2"/>
  <c r="AI42" i="2"/>
  <c r="AB40" i="2"/>
  <c r="AB35" i="2"/>
  <c r="AA56" i="2"/>
  <c r="AB42" i="2"/>
  <c r="AI12" i="2"/>
  <c r="AH52" i="2"/>
  <c r="AB21" i="2"/>
  <c r="AB51" i="2"/>
  <c r="AA20" i="6"/>
  <c r="AB48" i="6"/>
  <c r="AA40" i="6"/>
  <c r="AD54" i="6"/>
  <c r="AA19" i="6"/>
  <c r="AB56" i="2"/>
  <c r="AI29" i="2"/>
  <c r="AB8" i="6"/>
  <c r="AA38" i="2"/>
  <c r="AD7" i="6"/>
  <c r="AI27" i="2"/>
  <c r="AA38" i="6"/>
  <c r="AA22" i="6"/>
  <c r="AA42" i="2"/>
  <c r="AA54" i="6"/>
  <c r="AI25" i="2"/>
  <c r="AD38" i="6"/>
  <c r="AA7" i="6"/>
  <c r="AA13" i="2"/>
  <c r="AB22" i="6"/>
  <c r="AB49" i="6"/>
  <c r="AB14" i="6"/>
  <c r="AB21" i="6"/>
  <c r="AA6" i="6"/>
  <c r="AB52" i="2"/>
  <c r="AB11" i="6"/>
  <c r="AB47" i="6"/>
  <c r="AB34" i="6"/>
  <c r="AB19" i="6"/>
  <c r="AI33" i="2"/>
  <c r="AA25" i="2"/>
  <c r="AB10" i="6"/>
  <c r="AB25" i="2"/>
  <c r="AI34" i="2"/>
  <c r="AA48" i="2"/>
  <c r="AA21" i="2"/>
  <c r="AA11" i="6"/>
  <c r="AA29" i="2"/>
  <c r="AI11" i="6"/>
  <c r="AA7" i="2"/>
  <c r="AA48" i="6"/>
  <c r="AA47" i="6"/>
  <c r="AI53" i="2"/>
  <c r="AH39" i="2"/>
  <c r="AA37" i="6"/>
  <c r="AI19" i="2"/>
  <c r="AB54" i="2"/>
  <c r="AA36" i="2"/>
  <c r="AA14" i="6"/>
  <c r="AB7" i="2"/>
  <c r="AB53" i="2"/>
  <c r="AB13" i="6"/>
  <c r="AA25" i="6"/>
  <c r="AA49" i="2"/>
  <c r="AA36" i="6"/>
  <c r="AA43" i="2"/>
  <c r="AA33" i="2"/>
  <c r="AA55" i="2"/>
  <c r="AA33" i="6"/>
  <c r="AH7" i="2"/>
  <c r="AD49" i="6"/>
  <c r="AA56" i="6"/>
  <c r="AA53" i="2"/>
  <c r="AB38" i="2"/>
  <c r="AB56" i="6"/>
  <c r="AB25" i="6"/>
  <c r="AB6" i="6"/>
  <c r="AB23" i="2"/>
  <c r="AA23" i="2"/>
  <c r="AA29" i="6"/>
  <c r="AH23" i="2"/>
  <c r="AB23" i="6"/>
  <c r="AA28" i="6"/>
  <c r="AA24" i="6"/>
  <c r="AH13" i="2"/>
  <c r="AB55" i="6"/>
  <c r="AH10" i="2"/>
  <c r="AB41" i="6"/>
  <c r="AB22" i="2"/>
  <c r="AA41" i="6"/>
  <c r="AA15" i="2"/>
  <c r="AB9" i="2"/>
  <c r="AI51" i="2"/>
  <c r="AB37" i="6"/>
  <c r="AA23" i="6"/>
  <c r="AB50" i="6"/>
  <c r="AI22" i="2"/>
  <c r="AB29" i="6"/>
  <c r="AB10" i="2"/>
  <c r="AH57" i="2"/>
  <c r="AA10" i="2"/>
  <c r="AA9" i="2"/>
  <c r="AB24" i="6"/>
  <c r="AH43" i="2"/>
  <c r="AA47" i="2"/>
  <c r="AB57" i="6"/>
  <c r="AB48" i="2"/>
  <c r="AB5" i="6"/>
  <c r="AA26" i="6"/>
  <c r="AA35" i="6"/>
  <c r="AB26" i="6"/>
  <c r="AA55" i="6"/>
  <c r="AB33" i="6"/>
  <c r="AB13" i="2"/>
  <c r="AH48" i="5"/>
  <c r="AA35" i="2"/>
  <c r="AB27" i="2"/>
  <c r="AD52" i="6"/>
  <c r="AA43" i="6"/>
  <c r="AB40" i="6"/>
  <c r="AA52" i="6"/>
  <c r="AB43" i="6"/>
  <c r="AH11" i="2"/>
  <c r="AH9" i="2"/>
  <c r="AA51" i="2"/>
  <c r="AA13" i="6"/>
  <c r="AA57" i="6"/>
  <c r="AB39" i="2"/>
  <c r="AB39" i="6"/>
  <c r="AB34" i="2"/>
  <c r="AI36" i="2"/>
  <c r="AA34" i="2"/>
  <c r="AA39" i="2"/>
  <c r="AA6" i="2"/>
  <c r="AA15" i="6"/>
  <c r="AB19" i="2"/>
  <c r="AA27" i="6"/>
  <c r="AD27" i="6"/>
  <c r="AI15" i="2"/>
  <c r="AI54" i="2"/>
  <c r="AB6" i="2"/>
  <c r="AI20" i="2"/>
  <c r="AB20" i="2"/>
  <c r="AA10" i="6"/>
  <c r="AA57" i="2"/>
  <c r="AH38" i="2"/>
  <c r="AA26" i="2"/>
  <c r="AA27" i="2"/>
  <c r="AA53" i="6"/>
  <c r="AH6" i="5"/>
  <c r="AD8" i="6"/>
  <c r="AB35" i="6"/>
  <c r="AH26" i="2"/>
  <c r="AB36" i="6"/>
  <c r="AI6" i="2"/>
  <c r="AB42" i="6"/>
  <c r="AD28" i="6"/>
  <c r="AB15" i="6"/>
  <c r="AA12" i="6"/>
  <c r="AB26" i="2"/>
  <c r="AB9" i="6"/>
  <c r="AB49" i="2"/>
  <c r="AA21" i="6"/>
  <c r="AI48" i="2"/>
  <c r="AI41" i="2"/>
  <c r="AA41" i="2"/>
  <c r="AA54" i="2"/>
  <c r="AA9" i="6"/>
  <c r="AI49" i="2"/>
  <c r="AA42" i="6"/>
  <c r="AA50" i="6"/>
  <c r="AB36" i="2"/>
  <c r="AD39" i="6"/>
  <c r="AB29" i="2"/>
  <c r="AA52" i="2"/>
  <c r="AA19" i="2"/>
  <c r="AB57" i="2"/>
  <c r="AB53" i="6"/>
  <c r="AA20" i="2"/>
  <c r="AB12" i="2"/>
  <c r="AI52" i="5"/>
  <c r="AB12" i="6"/>
  <c r="AB15" i="2"/>
  <c r="AB43" i="2"/>
  <c r="AB33" i="2"/>
  <c r="AB41" i="2"/>
  <c r="AI37" i="2"/>
  <c r="AB11" i="2"/>
  <c r="AI55" i="2"/>
  <c r="AB55" i="2"/>
  <c r="AA11" i="2"/>
  <c r="AA37" i="2"/>
  <c r="AH21" i="5"/>
  <c r="AB37" i="2"/>
  <c r="AA12" i="2"/>
  <c r="AI50" i="2"/>
  <c r="AH50" i="2"/>
  <c r="AH61" i="5" l="1"/>
  <c r="AH60" i="5"/>
  <c r="AA61" i="6"/>
  <c r="AA60" i="6"/>
  <c r="AG27" i="6"/>
  <c r="AF27" i="6"/>
  <c r="AG11" i="6"/>
  <c r="AF11" i="6"/>
  <c r="AG24" i="6"/>
  <c r="AF24" i="6"/>
  <c r="AH26" i="6"/>
  <c r="AG26" i="6"/>
  <c r="AF26" i="6"/>
  <c r="AG13" i="6"/>
  <c r="AF13" i="6"/>
  <c r="AG43" i="6"/>
  <c r="AF43" i="6"/>
  <c r="AH6" i="6"/>
  <c r="AG6" i="6"/>
  <c r="AF6" i="6"/>
  <c r="AI23" i="6"/>
  <c r="AG23" i="6"/>
  <c r="AF23" i="6"/>
  <c r="AG25" i="6"/>
  <c r="AF25" i="6"/>
  <c r="AG8" i="6"/>
  <c r="AF8" i="6"/>
  <c r="AG49" i="6"/>
  <c r="AF49" i="6"/>
  <c r="AI34" i="6"/>
  <c r="AG34" i="6"/>
  <c r="AF34" i="6"/>
  <c r="AH15" i="6"/>
  <c r="AG15" i="6"/>
  <c r="AF15" i="6"/>
  <c r="AG52" i="6"/>
  <c r="AF52" i="6"/>
  <c r="AI14" i="6"/>
  <c r="AG14" i="6"/>
  <c r="AF14" i="6"/>
  <c r="AH12" i="6"/>
  <c r="AG12" i="6"/>
  <c r="AF12" i="6"/>
  <c r="AH55" i="6"/>
  <c r="AG55" i="6"/>
  <c r="AF55" i="6"/>
  <c r="AH33" i="6"/>
  <c r="AG33" i="6"/>
  <c r="AF33" i="6"/>
  <c r="AG57" i="6"/>
  <c r="AF57" i="6"/>
  <c r="AG7" i="6"/>
  <c r="AF7" i="6"/>
  <c r="AH36" i="6"/>
  <c r="AG36" i="6"/>
  <c r="AF36" i="6"/>
  <c r="AI47" i="6"/>
  <c r="AG47" i="6"/>
  <c r="AF47" i="6"/>
  <c r="AI40" i="6"/>
  <c r="AF40" i="6"/>
  <c r="AG40" i="6"/>
  <c r="AH48" i="6"/>
  <c r="AG48" i="6"/>
  <c r="AF48" i="6"/>
  <c r="AH20" i="6"/>
  <c r="AG20" i="6"/>
  <c r="AF20" i="6"/>
  <c r="AI53" i="6"/>
  <c r="AG53" i="6"/>
  <c r="AF53" i="6"/>
  <c r="AF10" i="6"/>
  <c r="AG10" i="6"/>
  <c r="AG22" i="6"/>
  <c r="AF22" i="6"/>
  <c r="AG9" i="6"/>
  <c r="AF9" i="6"/>
  <c r="AI41" i="6"/>
  <c r="AG41" i="6"/>
  <c r="AF41" i="6"/>
  <c r="AG35" i="6"/>
  <c r="AF35" i="6"/>
  <c r="AF47" i="2"/>
  <c r="AI19" i="6"/>
  <c r="AG19" i="6"/>
  <c r="AF19" i="6"/>
  <c r="AH50" i="6"/>
  <c r="AG50" i="6"/>
  <c r="AF50" i="6"/>
  <c r="AG39" i="6"/>
  <c r="AF39" i="6"/>
  <c r="AG28" i="6"/>
  <c r="AF28" i="6"/>
  <c r="AI21" i="6"/>
  <c r="AF21" i="6"/>
  <c r="AG21" i="6"/>
  <c r="AF29" i="6"/>
  <c r="AG29" i="6"/>
  <c r="AG54" i="6"/>
  <c r="AF54" i="6"/>
  <c r="AG5" i="6"/>
  <c r="AF5" i="6"/>
  <c r="AH56" i="6"/>
  <c r="AG56" i="6"/>
  <c r="AF56" i="6"/>
  <c r="AH37" i="6"/>
  <c r="AG37" i="6"/>
  <c r="AF37" i="6"/>
  <c r="AG38" i="6"/>
  <c r="AF38" i="6"/>
  <c r="AG42" i="6"/>
  <c r="AF42" i="6"/>
  <c r="AF51" i="6"/>
  <c r="AG51" i="6"/>
  <c r="AG47" i="2"/>
  <c r="AC21" i="6"/>
  <c r="AC38" i="6"/>
  <c r="AC49" i="6"/>
  <c r="AC47" i="6"/>
  <c r="AC9" i="6"/>
  <c r="AC11" i="6"/>
  <c r="AC28" i="6"/>
  <c r="AC25" i="6"/>
  <c r="AC10" i="6"/>
  <c r="AC13" i="6"/>
  <c r="AC15" i="6"/>
  <c r="AC35" i="6"/>
  <c r="AH11" i="6"/>
  <c r="AH51" i="6"/>
  <c r="AH21" i="6"/>
  <c r="AC52" i="6"/>
  <c r="AI24" i="6"/>
  <c r="AH43" i="6"/>
  <c r="AI7" i="6"/>
  <c r="AC54" i="6"/>
  <c r="AC53" i="6"/>
  <c r="AI47" i="2"/>
  <c r="AE58" i="2"/>
  <c r="AC57" i="6"/>
  <c r="AH13" i="6"/>
  <c r="AH35" i="6"/>
  <c r="AC19" i="6"/>
  <c r="AH53" i="6"/>
  <c r="AC34" i="6"/>
  <c r="AC29" i="6"/>
  <c r="AH57" i="6"/>
  <c r="AC39" i="6"/>
  <c r="AC27" i="6"/>
  <c r="AH34" i="6"/>
  <c r="AI29" i="6"/>
  <c r="AI38" i="6"/>
  <c r="AH25" i="6"/>
  <c r="AH39" i="6"/>
  <c r="AI9" i="6"/>
  <c r="AC8" i="6"/>
  <c r="AC37" i="6"/>
  <c r="AC22" i="6"/>
  <c r="AI37" i="6"/>
  <c r="AC12" i="6"/>
  <c r="AC24" i="6"/>
  <c r="AC55" i="6"/>
  <c r="AI52" i="6"/>
  <c r="AI54" i="6"/>
  <c r="AI5" i="6"/>
  <c r="AI55" i="6"/>
  <c r="AI42" i="6"/>
  <c r="AC50" i="6"/>
  <c r="AC7" i="6"/>
  <c r="AH9" i="6"/>
  <c r="AI51" i="6"/>
  <c r="AJ53" i="5"/>
  <c r="AC48" i="6"/>
  <c r="AC36" i="6"/>
  <c r="AC26" i="6"/>
  <c r="AI50" i="6"/>
  <c r="AI43" i="6"/>
  <c r="AI48" i="6"/>
  <c r="AI36" i="6"/>
  <c r="AI26" i="6"/>
  <c r="AI12" i="6"/>
  <c r="AC5" i="6"/>
  <c r="AC14" i="6"/>
  <c r="AI15" i="6"/>
  <c r="AI8" i="6"/>
  <c r="AH47" i="6"/>
  <c r="AD58" i="6"/>
  <c r="AJ53" i="6" s="1"/>
  <c r="AI22" i="6"/>
  <c r="AC42" i="6"/>
  <c r="AI56" i="6"/>
  <c r="AC23" i="6"/>
  <c r="AH14" i="6"/>
  <c r="AC6" i="6"/>
  <c r="AI20" i="6"/>
  <c r="AH10" i="6"/>
  <c r="AH22" i="6"/>
  <c r="AC56" i="6"/>
  <c r="AH42" i="6"/>
  <c r="AH24" i="6"/>
  <c r="AI10" i="6"/>
  <c r="AC40" i="6"/>
  <c r="AH23" i="6"/>
  <c r="AC33" i="6"/>
  <c r="AI6" i="6"/>
  <c r="AC43" i="6"/>
  <c r="AH19" i="6"/>
  <c r="AI27" i="6"/>
  <c r="AH49" i="6"/>
  <c r="AC41" i="6"/>
  <c r="AH40" i="6"/>
  <c r="AI33" i="6"/>
  <c r="AI28" i="6"/>
  <c r="AI25" i="6"/>
  <c r="AI13" i="6"/>
  <c r="AH29" i="6"/>
  <c r="AI35" i="6"/>
  <c r="AI57" i="6"/>
  <c r="AH41" i="6"/>
  <c r="AC20" i="6"/>
  <c r="AJ48" i="5"/>
  <c r="AJ54" i="5"/>
  <c r="AJ34" i="5"/>
  <c r="AJ23" i="5"/>
  <c r="AJ26" i="5"/>
  <c r="AJ25" i="5"/>
  <c r="AJ10" i="5"/>
  <c r="AJ55" i="5"/>
  <c r="AJ13" i="5"/>
  <c r="AJ51" i="5"/>
  <c r="AJ39" i="5"/>
  <c r="AJ8" i="5"/>
  <c r="AJ6" i="5"/>
  <c r="AJ57" i="5"/>
  <c r="AJ33" i="5"/>
  <c r="AJ43" i="5"/>
  <c r="AJ50" i="5"/>
  <c r="AJ14" i="5"/>
  <c r="AJ9" i="5"/>
  <c r="AJ19" i="5"/>
  <c r="AJ49" i="5"/>
  <c r="AJ35" i="5"/>
  <c r="AJ7" i="5"/>
  <c r="AJ41" i="5"/>
  <c r="AJ24" i="5"/>
  <c r="AJ40" i="5"/>
  <c r="AJ52" i="5"/>
  <c r="AJ47" i="5"/>
  <c r="AJ27" i="5"/>
  <c r="AJ37" i="5"/>
  <c r="AJ20" i="5"/>
  <c r="AC61" i="5"/>
  <c r="X61" i="5" s="1"/>
  <c r="AC60" i="5"/>
  <c r="X60" i="5" s="1"/>
  <c r="AJ12" i="5"/>
  <c r="AJ36" i="5"/>
  <c r="AJ42" i="5"/>
  <c r="AJ11" i="5"/>
  <c r="AJ5" i="5"/>
  <c r="AJ56" i="5"/>
  <c r="AJ29" i="5"/>
  <c r="AJ22" i="5"/>
  <c r="AJ38" i="5"/>
  <c r="AJ21" i="5"/>
  <c r="AJ28" i="5"/>
  <c r="AH5" i="6"/>
  <c r="AH54" i="6"/>
  <c r="AH7" i="6"/>
  <c r="AH38" i="6"/>
  <c r="AH8" i="6"/>
  <c r="AI49" i="6"/>
  <c r="AI39" i="6"/>
  <c r="AH52" i="6"/>
  <c r="AH28" i="6"/>
  <c r="AH27" i="6"/>
  <c r="Y61" i="2"/>
  <c r="Z61" i="2"/>
  <c r="Y61" i="6"/>
  <c r="Z61" i="6"/>
  <c r="Z60" i="2"/>
  <c r="Y60" i="6"/>
  <c r="Z60" i="6"/>
  <c r="Y60" i="5"/>
  <c r="Z60" i="5"/>
  <c r="Y61" i="5"/>
  <c r="Z61" i="5"/>
  <c r="I5" i="17" s="1"/>
  <c r="I4" i="17"/>
  <c r="H5" i="17"/>
  <c r="AB60" i="6" l="1"/>
  <c r="AB61" i="6"/>
  <c r="AB61" i="2"/>
  <c r="AH61" i="6"/>
  <c r="AH60" i="6"/>
  <c r="AC61" i="6"/>
  <c r="X61" i="6" s="1"/>
  <c r="AC60" i="6"/>
  <c r="X60" i="6" s="1"/>
  <c r="AB61" i="5"/>
  <c r="AB60" i="5"/>
  <c r="P13" i="17"/>
  <c r="L13" i="17" s="1"/>
  <c r="I12" i="17"/>
  <c r="P12" i="17"/>
  <c r="N12" i="17" s="1"/>
  <c r="I13" i="17"/>
  <c r="AJ35" i="6"/>
  <c r="AJ13" i="6"/>
  <c r="AJ6" i="6"/>
  <c r="AJ19" i="6"/>
  <c r="AJ9" i="6"/>
  <c r="AJ50" i="6"/>
  <c r="AJ37" i="6"/>
  <c r="AJ56" i="6"/>
  <c r="AJ22" i="6"/>
  <c r="AJ27" i="6"/>
  <c r="AJ47" i="6"/>
  <c r="AJ39" i="6"/>
  <c r="AJ15" i="6"/>
  <c r="AJ24" i="6"/>
  <c r="AJ25" i="6"/>
  <c r="AJ21" i="6"/>
  <c r="AJ41" i="6"/>
  <c r="AJ10" i="6"/>
  <c r="AJ42" i="6"/>
  <c r="AJ38" i="6"/>
  <c r="AJ7" i="6"/>
  <c r="AJ29" i="6"/>
  <c r="AJ5" i="6"/>
  <c r="AJ28" i="6"/>
  <c r="AJ51" i="6"/>
  <c r="AJ52" i="6"/>
  <c r="AJ23" i="6"/>
  <c r="AJ36" i="6"/>
  <c r="AJ11" i="6"/>
  <c r="AJ55" i="6"/>
  <c r="AJ33" i="6"/>
  <c r="AJ20" i="6"/>
  <c r="AJ57" i="6"/>
  <c r="AJ40" i="6"/>
  <c r="AJ14" i="6"/>
  <c r="AJ8" i="6"/>
  <c r="AJ43" i="6"/>
  <c r="AJ34" i="6"/>
  <c r="AJ12" i="6"/>
  <c r="AJ54" i="6"/>
  <c r="AJ26" i="6"/>
  <c r="AJ48" i="6"/>
  <c r="AJ49" i="6"/>
  <c r="AJ61" i="5"/>
  <c r="AE61" i="5" s="1"/>
  <c r="AJ60" i="5"/>
  <c r="AE60" i="5" s="1"/>
  <c r="AF61" i="2"/>
  <c r="AG61" i="2"/>
  <c r="AF61" i="6"/>
  <c r="AG61" i="6"/>
  <c r="AF60" i="2"/>
  <c r="AG60" i="2"/>
  <c r="AF60" i="6"/>
  <c r="AG60" i="6"/>
  <c r="AF60" i="5"/>
  <c r="AG60" i="5"/>
  <c r="AF61" i="5"/>
  <c r="AG61" i="5"/>
  <c r="AI60" i="6" l="1"/>
  <c r="AI60" i="2"/>
  <c r="AI61" i="6"/>
  <c r="AI61" i="2"/>
  <c r="AJ61" i="6"/>
  <c r="AE61" i="6" s="1"/>
  <c r="AJ60" i="6"/>
  <c r="AE60" i="6" s="1"/>
  <c r="AI61" i="5"/>
  <c r="AI60" i="5"/>
  <c r="M13" i="17"/>
  <c r="J13" i="17" s="1"/>
  <c r="O13" i="17"/>
  <c r="N13" i="17"/>
  <c r="M12" i="17"/>
  <c r="L12" i="17"/>
  <c r="O12" i="17"/>
  <c r="K12" i="17" s="1"/>
  <c r="K13" i="17" l="1"/>
  <c r="J12" i="17"/>
  <c r="J8" i="17" l="1"/>
  <c r="L8" i="17" s="1"/>
  <c r="I22" i="17" s="1"/>
  <c r="J10" i="17"/>
  <c r="L10" i="17" s="1"/>
  <c r="I24" i="17" s="1"/>
  <c r="J7" i="17"/>
  <c r="L7" i="17" s="1"/>
  <c r="I21" i="17" s="1"/>
  <c r="J9" i="17"/>
  <c r="L9" i="17" s="1"/>
  <c r="I23" i="17" s="1"/>
  <c r="J47" i="17" l="1"/>
  <c r="J46" i="17"/>
  <c r="J48" i="17"/>
  <c r="J45" i="17"/>
  <c r="J40" i="17"/>
  <c r="J39" i="17"/>
  <c r="J38" i="17"/>
  <c r="J37" i="17"/>
  <c r="J30" i="17"/>
  <c r="J31" i="17"/>
  <c r="J32" i="17"/>
  <c r="J29" i="17"/>
  <c r="I38" i="17"/>
  <c r="I39" i="17"/>
  <c r="I47" i="17"/>
  <c r="I46" i="17"/>
  <c r="J23" i="17"/>
  <c r="K23" i="17" s="1"/>
  <c r="J24" i="17"/>
  <c r="K24" i="17" s="1"/>
  <c r="J21" i="17"/>
  <c r="K21" i="17" s="1"/>
  <c r="I30" i="17"/>
  <c r="J22" i="17"/>
  <c r="K22" i="17" s="1"/>
  <c r="I40" i="17"/>
  <c r="I48" i="17"/>
  <c r="I31" i="17"/>
  <c r="I32" i="17"/>
  <c r="I37" i="17"/>
  <c r="I29" i="17"/>
  <c r="I45" i="17"/>
  <c r="L40" i="17" l="1"/>
  <c r="L29" i="17"/>
  <c r="L32" i="17"/>
  <c r="L31" i="17"/>
  <c r="K48" i="17"/>
  <c r="L48" i="17"/>
  <c r="L30" i="17"/>
  <c r="K46" i="17"/>
  <c r="L46" i="17"/>
  <c r="L22" i="17"/>
  <c r="K47" i="17"/>
  <c r="L47" i="17"/>
  <c r="L23" i="17"/>
  <c r="L39" i="17"/>
  <c r="L38" i="17"/>
  <c r="L24" i="17"/>
  <c r="L45" i="17"/>
  <c r="L21" i="17"/>
  <c r="L37" i="17"/>
  <c r="K40" i="17"/>
  <c r="K32" i="17"/>
  <c r="K31" i="17"/>
  <c r="K30" i="17"/>
  <c r="K39" i="17"/>
  <c r="K38" i="17"/>
  <c r="K45" i="17"/>
  <c r="K29" i="17"/>
  <c r="K37" i="17"/>
  <c r="I58" i="2" l="1"/>
  <c r="O38" i="2" s="1"/>
  <c r="N5" i="2"/>
  <c r="M5" i="2"/>
  <c r="K5" i="2"/>
  <c r="L5" i="2"/>
  <c r="P5" i="2"/>
  <c r="U5" i="2" s="1"/>
  <c r="W5" i="2" l="1"/>
  <c r="S5" i="2"/>
  <c r="T5" i="2"/>
  <c r="P58" i="2"/>
  <c r="V19" i="2" s="1"/>
  <c r="W58" i="2"/>
  <c r="AC24" i="2" s="1"/>
  <c r="R5" i="2"/>
  <c r="O51" i="2"/>
  <c r="O5" i="2"/>
  <c r="O15" i="2"/>
  <c r="O54" i="2"/>
  <c r="O11" i="2"/>
  <c r="V9" i="2"/>
  <c r="AC27" i="2"/>
  <c r="O53" i="2"/>
  <c r="O57" i="2"/>
  <c r="V11" i="2"/>
  <c r="O19" i="2"/>
  <c r="O39" i="2"/>
  <c r="O29" i="2"/>
  <c r="V27" i="2"/>
  <c r="AC54" i="2"/>
  <c r="V50" i="2"/>
  <c r="O41" i="2"/>
  <c r="O25" i="2"/>
  <c r="O12" i="2"/>
  <c r="V33" i="2"/>
  <c r="O43" i="2"/>
  <c r="O21" i="2"/>
  <c r="O28" i="2"/>
  <c r="O40" i="2"/>
  <c r="O34" i="2"/>
  <c r="V13" i="2"/>
  <c r="O49" i="2"/>
  <c r="O36" i="2"/>
  <c r="O35" i="2"/>
  <c r="O9" i="2"/>
  <c r="O22" i="2"/>
  <c r="V20" i="2"/>
  <c r="V6" i="2"/>
  <c r="V25" i="2"/>
  <c r="AC55" i="2"/>
  <c r="V56" i="2"/>
  <c r="O20" i="2"/>
  <c r="AC22" i="2"/>
  <c r="O10" i="2"/>
  <c r="O13" i="2"/>
  <c r="O23" i="2"/>
  <c r="AC15" i="2"/>
  <c r="AC33" i="2"/>
  <c r="V22" i="2"/>
  <c r="V38" i="2"/>
  <c r="O52" i="2"/>
  <c r="O48" i="2"/>
  <c r="O47" i="2"/>
  <c r="AC19" i="2"/>
  <c r="O26" i="2"/>
  <c r="V39" i="2"/>
  <c r="O56" i="2"/>
  <c r="V7" i="2"/>
  <c r="V40" i="2"/>
  <c r="V10" i="2"/>
  <c r="O27" i="2"/>
  <c r="AA5" i="2"/>
  <c r="O55" i="2"/>
  <c r="O6" i="2"/>
  <c r="V12" i="2"/>
  <c r="AC26" i="2"/>
  <c r="V42" i="2"/>
  <c r="O33" i="2"/>
  <c r="O14" i="2"/>
  <c r="AB5" i="2"/>
  <c r="O8" i="2"/>
  <c r="O37" i="2"/>
  <c r="V21" i="2"/>
  <c r="O7" i="2"/>
  <c r="O42" i="2"/>
  <c r="AD5" i="2"/>
  <c r="Y5" i="2"/>
  <c r="Z5" i="2"/>
  <c r="O50" i="2"/>
  <c r="O24" i="2"/>
  <c r="V26" i="2"/>
  <c r="V41" i="2"/>
  <c r="AC8" i="2"/>
  <c r="AC35" i="2"/>
  <c r="Y60" i="2"/>
  <c r="H4" i="17"/>
  <c r="V49" i="2" l="1"/>
  <c r="V35" i="2"/>
  <c r="AC39" i="2"/>
  <c r="V15" i="2"/>
  <c r="AC50" i="2"/>
  <c r="V36" i="2"/>
  <c r="AC23" i="2"/>
  <c r="AC36" i="2"/>
  <c r="AC42" i="2"/>
  <c r="T60" i="2"/>
  <c r="T61" i="2"/>
  <c r="AC12" i="2"/>
  <c r="V14" i="2"/>
  <c r="AC41" i="2"/>
  <c r="AC47" i="2"/>
  <c r="V51" i="2"/>
  <c r="V55" i="2"/>
  <c r="AB60" i="2"/>
  <c r="AC48" i="2"/>
  <c r="AC10" i="2"/>
  <c r="AA60" i="2"/>
  <c r="AA61" i="2"/>
  <c r="AC11" i="2"/>
  <c r="AC53" i="2"/>
  <c r="AC40" i="2"/>
  <c r="AC6" i="2"/>
  <c r="AC21" i="2"/>
  <c r="AC29" i="2"/>
  <c r="AC28" i="2"/>
  <c r="I8" i="17"/>
  <c r="I7" i="17"/>
  <c r="I10" i="17"/>
  <c r="I9" i="17"/>
  <c r="AC52" i="2"/>
  <c r="AC7" i="2"/>
  <c r="AC37" i="2"/>
  <c r="V34" i="2"/>
  <c r="AC51" i="2"/>
  <c r="AC25" i="2"/>
  <c r="V28" i="2"/>
  <c r="V23" i="2"/>
  <c r="V43" i="2"/>
  <c r="AC13" i="2"/>
  <c r="AC43" i="2"/>
  <c r="AC34" i="2"/>
  <c r="V24" i="2"/>
  <c r="V53" i="2"/>
  <c r="AC56" i="2"/>
  <c r="AC57" i="2"/>
  <c r="V8" i="2"/>
  <c r="AC49" i="2"/>
  <c r="AC9" i="2"/>
  <c r="V57" i="2"/>
  <c r="AC14" i="2"/>
  <c r="AC38" i="2"/>
  <c r="AC20" i="2"/>
  <c r="V47" i="2"/>
  <c r="V29" i="2"/>
  <c r="V52" i="2"/>
  <c r="V37" i="2"/>
  <c r="V5" i="2"/>
  <c r="V48" i="2"/>
  <c r="V54" i="2"/>
  <c r="AC5" i="2"/>
  <c r="AH5" i="2"/>
  <c r="AI5" i="2"/>
  <c r="AD58" i="2"/>
  <c r="AG5" i="2"/>
  <c r="AF5" i="2"/>
  <c r="AC61" i="2" l="1"/>
  <c r="X61" i="2" s="1"/>
  <c r="V61" i="2"/>
  <c r="Q61" i="2" s="1"/>
  <c r="V60" i="2"/>
  <c r="Q60" i="2" s="1"/>
  <c r="AC60" i="2"/>
  <c r="X60" i="2" s="1"/>
  <c r="AH61" i="2"/>
  <c r="AH60" i="2"/>
  <c r="K9" i="17"/>
  <c r="J43" i="17" s="1"/>
  <c r="K7" i="17"/>
  <c r="J17" i="17" s="1"/>
  <c r="K10" i="17"/>
  <c r="J36" i="17" s="1"/>
  <c r="K8" i="17"/>
  <c r="AJ40" i="2"/>
  <c r="AJ42" i="2"/>
  <c r="AJ9" i="2"/>
  <c r="AJ36" i="2"/>
  <c r="AJ13" i="2"/>
  <c r="AJ43" i="2"/>
  <c r="AJ37" i="2"/>
  <c r="AJ39" i="2"/>
  <c r="AJ52" i="2"/>
  <c r="AJ38" i="2"/>
  <c r="AJ47" i="2"/>
  <c r="AJ8" i="2"/>
  <c r="AJ6" i="2"/>
  <c r="AJ41" i="2"/>
  <c r="AJ26" i="2"/>
  <c r="AJ23" i="2"/>
  <c r="AJ55" i="2"/>
  <c r="AJ10" i="2"/>
  <c r="AJ21" i="2"/>
  <c r="AJ57" i="2"/>
  <c r="AJ54" i="2"/>
  <c r="AJ24" i="2"/>
  <c r="AJ50" i="2"/>
  <c r="AJ49" i="2"/>
  <c r="AJ19" i="2"/>
  <c r="AJ20" i="2"/>
  <c r="AJ33" i="2"/>
  <c r="AJ51" i="2"/>
  <c r="AJ29" i="2"/>
  <c r="AJ34" i="2"/>
  <c r="AJ22" i="2"/>
  <c r="AJ48" i="2"/>
  <c r="AJ53" i="2"/>
  <c r="AJ56" i="2"/>
  <c r="AJ27" i="2"/>
  <c r="AJ7" i="2"/>
  <c r="AJ35" i="2"/>
  <c r="AJ12" i="2"/>
  <c r="AJ25" i="2"/>
  <c r="AJ28" i="2"/>
  <c r="AJ15" i="2"/>
  <c r="AJ14" i="2"/>
  <c r="AJ11" i="2"/>
  <c r="AJ5" i="2"/>
  <c r="J27" i="17" l="1"/>
  <c r="J19" i="17"/>
  <c r="J35" i="17"/>
  <c r="AJ61" i="2"/>
  <c r="AE61" i="2" s="1"/>
  <c r="AJ60" i="2"/>
  <c r="AE60" i="2" s="1"/>
  <c r="J44" i="17"/>
  <c r="J28" i="17"/>
  <c r="J20" i="17"/>
  <c r="J25" i="17"/>
  <c r="J41" i="17"/>
  <c r="J33" i="17"/>
  <c r="I18" i="17"/>
  <c r="I26" i="17"/>
  <c r="I42" i="17"/>
  <c r="I34" i="17"/>
  <c r="J42" i="17"/>
  <c r="I17" i="17"/>
  <c r="K17" i="17" s="1"/>
  <c r="I41" i="17"/>
  <c r="I25" i="17"/>
  <c r="I33" i="17"/>
  <c r="J18" i="17"/>
  <c r="I20" i="17"/>
  <c r="I44" i="17"/>
  <c r="I36" i="17"/>
  <c r="I28" i="17"/>
  <c r="J26" i="17"/>
  <c r="J34" i="17"/>
  <c r="I19" i="17"/>
  <c r="K19" i="17" s="1"/>
  <c r="I43" i="17"/>
  <c r="I27" i="17"/>
  <c r="I35" i="17"/>
  <c r="K18" i="17" l="1"/>
  <c r="K36" i="17"/>
  <c r="L36" i="17"/>
  <c r="L44" i="17"/>
  <c r="K44" i="17"/>
  <c r="L28" i="17"/>
  <c r="K28" i="17"/>
  <c r="K27" i="17"/>
  <c r="L27" i="17"/>
  <c r="L20" i="17"/>
  <c r="L35" i="17"/>
  <c r="K35" i="17"/>
  <c r="L26" i="17"/>
  <c r="K26" i="17"/>
  <c r="L25" i="17"/>
  <c r="K25" i="17"/>
  <c r="K41" i="17"/>
  <c r="L41" i="17"/>
  <c r="K43" i="17"/>
  <c r="L43" i="17"/>
  <c r="L19" i="17"/>
  <c r="K42" i="17"/>
  <c r="L42" i="17"/>
  <c r="L18" i="17"/>
  <c r="K33" i="17"/>
  <c r="L33" i="17"/>
  <c r="L17" i="17"/>
  <c r="M15" i="17"/>
  <c r="K34" i="17"/>
  <c r="L34" i="17"/>
  <c r="N15" i="17"/>
  <c r="K20" i="17"/>
  <c r="M33" i="17" l="1"/>
  <c r="N33" i="17" s="1"/>
  <c r="O33" i="17" s="1"/>
  <c r="M28" i="17"/>
  <c r="N28" i="17" s="1"/>
  <c r="O28" i="17" s="1"/>
  <c r="K49" i="17"/>
  <c r="M20" i="17"/>
  <c r="N20" i="17" s="1"/>
  <c r="O20" i="17" s="1"/>
  <c r="M26" i="17"/>
  <c r="N26" i="17" s="1"/>
  <c r="O26" i="17" s="1"/>
  <c r="M42" i="17"/>
  <c r="N42" i="17" s="1"/>
  <c r="O42" i="17" s="1"/>
  <c r="M44" i="17"/>
  <c r="N44" i="17" s="1"/>
  <c r="O44" i="17" s="1"/>
  <c r="M27" i="17"/>
  <c r="N27" i="17" s="1"/>
  <c r="O27" i="17" s="1"/>
  <c r="M41" i="17"/>
  <c r="N41" i="17" s="1"/>
  <c r="O41" i="17" s="1"/>
  <c r="M19" i="17"/>
  <c r="N19" i="17" s="1"/>
  <c r="O19" i="17" s="1"/>
  <c r="M35" i="17"/>
  <c r="N35" i="17" s="1"/>
  <c r="O35" i="17" s="1"/>
  <c r="M18" i="17"/>
  <c r="N18" i="17" s="1"/>
  <c r="O18" i="17" s="1"/>
  <c r="M25" i="17"/>
  <c r="N25" i="17" s="1"/>
  <c r="O25" i="17" s="1"/>
  <c r="M34" i="17"/>
  <c r="N34" i="17" s="1"/>
  <c r="O34" i="17" s="1"/>
  <c r="M36" i="17"/>
  <c r="N36" i="17" s="1"/>
  <c r="O36" i="17" s="1"/>
  <c r="M17" i="17"/>
  <c r="N17" i="17" s="1"/>
  <c r="O17" i="17" s="1"/>
  <c r="M43" i="17"/>
  <c r="N43" i="17" s="1"/>
  <c r="O43" i="17" s="1"/>
  <c r="M22" i="17"/>
  <c r="N22" i="17" s="1"/>
  <c r="O22" i="17" s="1"/>
  <c r="M48" i="17"/>
  <c r="N48" i="17" s="1"/>
  <c r="O48" i="17" s="1"/>
  <c r="M39" i="17"/>
  <c r="N39" i="17" s="1"/>
  <c r="O39" i="17" s="1"/>
  <c r="M38" i="17"/>
  <c r="N38" i="17" s="1"/>
  <c r="O38" i="17" s="1"/>
  <c r="M24" i="17"/>
  <c r="N24" i="17" s="1"/>
  <c r="O24" i="17" s="1"/>
  <c r="M32" i="17"/>
  <c r="N32" i="17" s="1"/>
  <c r="O32" i="17" s="1"/>
  <c r="M23" i="17"/>
  <c r="N23" i="17" s="1"/>
  <c r="O23" i="17" s="1"/>
  <c r="M21" i="17"/>
  <c r="N21" i="17" s="1"/>
  <c r="O21" i="17" s="1"/>
  <c r="M29" i="17"/>
  <c r="N29" i="17" s="1"/>
  <c r="O29" i="17" s="1"/>
  <c r="M37" i="17"/>
  <c r="N37" i="17" s="1"/>
  <c r="O37" i="17" s="1"/>
  <c r="M31" i="17"/>
  <c r="N31" i="17" s="1"/>
  <c r="O31" i="17" s="1"/>
  <c r="M40" i="17"/>
  <c r="N40" i="17" s="1"/>
  <c r="O40" i="17" s="1"/>
  <c r="M46" i="17"/>
  <c r="N46" i="17" s="1"/>
  <c r="O46" i="17" s="1"/>
  <c r="M45" i="17"/>
  <c r="N45" i="17" s="1"/>
  <c r="O45" i="17" s="1"/>
  <c r="M47" i="17"/>
  <c r="N47" i="17" s="1"/>
  <c r="O47" i="17" s="1"/>
  <c r="M30" i="17"/>
  <c r="N30" i="17" s="1"/>
  <c r="O30" i="17" s="1"/>
  <c r="P16" i="17" l="1"/>
  <c r="P17" i="17" s="1"/>
  <c r="P33" i="17" l="1"/>
  <c r="P43" i="17"/>
  <c r="P30" i="17"/>
  <c r="P22" i="17"/>
  <c r="P29" i="17"/>
  <c r="P39" i="17"/>
  <c r="P18" i="17"/>
  <c r="P28" i="17"/>
  <c r="P48" i="17"/>
  <c r="P38" i="17"/>
  <c r="P40" i="17"/>
  <c r="P20" i="17"/>
  <c r="P24" i="17"/>
  <c r="P26" i="17"/>
  <c r="P47" i="17"/>
  <c r="P21" i="17"/>
  <c r="P42" i="17"/>
  <c r="P31" i="17"/>
  <c r="P44" i="17"/>
  <c r="P32" i="17"/>
  <c r="P27" i="17"/>
  <c r="P23" i="17"/>
  <c r="P45" i="17"/>
  <c r="P41" i="17"/>
  <c r="P37" i="17"/>
  <c r="P19" i="17"/>
  <c r="P46" i="17"/>
  <c r="P35" i="17"/>
  <c r="P36" i="17"/>
  <c r="P25" i="17"/>
  <c r="P34" i="17"/>
  <c r="P15" i="17" l="1"/>
  <c r="R15" i="17" s="1"/>
  <c r="AH2" i="17" s="1"/>
  <c r="AH6" i="17" s="1"/>
  <c r="Q15" i="17" l="1" a="1"/>
  <c r="Q15" i="17" s="1"/>
  <c r="Q46" i="17" s="1"/>
  <c r="R46" i="17" s="1"/>
  <c r="S46" i="17" s="1"/>
  <c r="Q45" i="17" l="1"/>
  <c r="R45" i="17" s="1"/>
  <c r="S45" i="17" s="1"/>
  <c r="Q24" i="17"/>
  <c r="R24" i="17" s="1"/>
  <c r="S24" i="17" s="1"/>
  <c r="Q28" i="17"/>
  <c r="R28" i="17" s="1"/>
  <c r="S28" i="17" s="1"/>
  <c r="Q37" i="17"/>
  <c r="R37" i="17" s="1"/>
  <c r="S37" i="17" s="1"/>
  <c r="Q47" i="17"/>
  <c r="R47" i="17" s="1"/>
  <c r="S47" i="17" s="1"/>
  <c r="Q41" i="17"/>
  <c r="R41" i="17" s="1"/>
  <c r="S41" i="17" s="1"/>
  <c r="Q22" i="17"/>
  <c r="R22" i="17" s="1"/>
  <c r="S22" i="17" s="1"/>
  <c r="Q29" i="17"/>
  <c r="R29" i="17" s="1"/>
  <c r="S29" i="17" s="1"/>
  <c r="Q43" i="17"/>
  <c r="R43" i="17" s="1"/>
  <c r="S43" i="17" s="1"/>
  <c r="Q38" i="17"/>
  <c r="R38" i="17" s="1"/>
  <c r="S38" i="17" s="1"/>
  <c r="AG2" i="17"/>
  <c r="AG6" i="17" s="1"/>
  <c r="Q35" i="17"/>
  <c r="R35" i="17" s="1"/>
  <c r="S35" i="17" s="1"/>
  <c r="Q44" i="17"/>
  <c r="R44" i="17" s="1"/>
  <c r="S44" i="17" s="1"/>
  <c r="Q26" i="17"/>
  <c r="R26" i="17" s="1"/>
  <c r="S26" i="17" s="1"/>
  <c r="Q42" i="17"/>
  <c r="R42" i="17" s="1"/>
  <c r="S42" i="17" s="1"/>
  <c r="P2" i="17"/>
  <c r="Q19" i="17"/>
  <c r="R19" i="17" s="1"/>
  <c r="S19" i="17" s="1"/>
  <c r="Q31" i="17"/>
  <c r="R31" i="17" s="1"/>
  <c r="S31" i="17" s="1"/>
  <c r="Q33" i="17"/>
  <c r="R33" i="17" s="1"/>
  <c r="S33" i="17" s="1"/>
  <c r="Q27" i="17"/>
  <c r="R27" i="17" s="1"/>
  <c r="S27" i="17" s="1"/>
  <c r="Q32" i="17"/>
  <c r="R32" i="17" s="1"/>
  <c r="S32" i="17" s="1"/>
  <c r="Q21" i="17"/>
  <c r="R21" i="17" s="1"/>
  <c r="S21" i="17" s="1"/>
  <c r="Q39" i="17"/>
  <c r="R39" i="17" s="1"/>
  <c r="S39" i="17" s="1"/>
  <c r="Q17" i="17"/>
  <c r="R17" i="17" s="1"/>
  <c r="S17" i="17" s="1"/>
  <c r="Q23" i="17"/>
  <c r="R23" i="17" s="1"/>
  <c r="S23" i="17" s="1"/>
  <c r="Q20" i="17"/>
  <c r="R20" i="17" s="1"/>
  <c r="S20" i="17" s="1"/>
  <c r="Q40" i="17"/>
  <c r="R40" i="17" s="1"/>
  <c r="S40" i="17" s="1"/>
  <c r="Q36" i="17"/>
  <c r="R36" i="17" s="1"/>
  <c r="S36" i="17" s="1"/>
  <c r="Q48" i="17"/>
  <c r="R48" i="17" s="1"/>
  <c r="S48" i="17" s="1"/>
  <c r="Q18" i="17"/>
  <c r="R18" i="17" s="1"/>
  <c r="S18" i="17" s="1"/>
  <c r="Q30" i="17"/>
  <c r="R30" i="17" s="1"/>
  <c r="S30" i="17" s="1"/>
  <c r="P1" i="17"/>
  <c r="Q25" i="17"/>
  <c r="R25" i="17" s="1"/>
  <c r="S25" i="17" s="1"/>
  <c r="Q34" i="17"/>
  <c r="R34" i="17" s="1"/>
  <c r="S34" i="17" s="1"/>
  <c r="T16" i="17" l="1"/>
  <c r="T25" i="17" s="1"/>
  <c r="T29" i="17" l="1"/>
  <c r="T44" i="17"/>
  <c r="T36" i="17"/>
  <c r="T20" i="17"/>
  <c r="T48" i="17"/>
  <c r="T42" i="17"/>
  <c r="T34" i="17"/>
  <c r="T46" i="17"/>
  <c r="T23" i="17"/>
  <c r="T40" i="17"/>
  <c r="T26" i="17"/>
  <c r="T31" i="17"/>
  <c r="T30" i="17"/>
  <c r="T35" i="17"/>
  <c r="T45" i="17"/>
  <c r="T47" i="17"/>
  <c r="T41" i="17"/>
  <c r="T39" i="17"/>
  <c r="T24" i="17"/>
  <c r="T27" i="17"/>
  <c r="T21" i="17"/>
  <c r="T43" i="17"/>
  <c r="T32" i="17"/>
  <c r="T37" i="17"/>
  <c r="T38" i="17"/>
  <c r="T28" i="17"/>
  <c r="T18" i="17"/>
  <c r="T22" i="17"/>
  <c r="T19" i="17"/>
  <c r="T17" i="17"/>
  <c r="T33" i="17"/>
  <c r="T15" i="17" l="1"/>
  <c r="V15" i="17" s="1" a="1"/>
  <c r="V15" i="17" s="1"/>
  <c r="AH3" i="17" s="1"/>
  <c r="U15" i="17" l="1" a="1"/>
  <c r="U15" i="17" s="1"/>
  <c r="U47" i="17" l="1"/>
  <c r="V47" i="17" s="1"/>
  <c r="W47" i="17" s="1"/>
  <c r="U31" i="17"/>
  <c r="V31" i="17" s="1"/>
  <c r="W31" i="17" s="1"/>
  <c r="U26" i="17"/>
  <c r="V26" i="17" s="1"/>
  <c r="W26" i="17" s="1"/>
  <c r="U35" i="17"/>
  <c r="V35" i="17" s="1"/>
  <c r="W35" i="17" s="1"/>
  <c r="U37" i="17"/>
  <c r="V37" i="17" s="1"/>
  <c r="W37" i="17" s="1"/>
  <c r="U27" i="17"/>
  <c r="V27" i="17" s="1"/>
  <c r="W27" i="17" s="1"/>
  <c r="U44" i="17"/>
  <c r="V44" i="17" s="1"/>
  <c r="W44" i="17" s="1"/>
  <c r="U46" i="17"/>
  <c r="V46" i="17" s="1"/>
  <c r="W46" i="17" s="1"/>
  <c r="U21" i="17"/>
  <c r="V21" i="17" s="1"/>
  <c r="W21" i="17" s="1"/>
  <c r="U22" i="17"/>
  <c r="V22" i="17" s="1"/>
  <c r="W22" i="17" s="1"/>
  <c r="U19" i="17"/>
  <c r="V19" i="17" s="1"/>
  <c r="W19" i="17" s="1"/>
  <c r="U18" i="17"/>
  <c r="V18" i="17" s="1"/>
  <c r="W18" i="17" s="1"/>
  <c r="U23" i="17"/>
  <c r="V23" i="17" s="1"/>
  <c r="W23" i="17" s="1"/>
  <c r="U38" i="17"/>
  <c r="V38" i="17" s="1"/>
  <c r="W38" i="17" s="1"/>
  <c r="U42" i="17"/>
  <c r="V42" i="17" s="1"/>
  <c r="W42" i="17" s="1"/>
  <c r="U17" i="17"/>
  <c r="V17" i="17" s="1"/>
  <c r="W17" i="17" s="1"/>
  <c r="U28" i="17"/>
  <c r="V28" i="17" s="1"/>
  <c r="W28" i="17" s="1"/>
  <c r="U30" i="17"/>
  <c r="V30" i="17" s="1"/>
  <c r="W30" i="17" s="1"/>
  <c r="U45" i="17"/>
  <c r="V45" i="17" s="1"/>
  <c r="W45" i="17" s="1"/>
  <c r="U48" i="17"/>
  <c r="V48" i="17" s="1"/>
  <c r="W48" i="17" s="1"/>
  <c r="AG3" i="17"/>
  <c r="U20" i="17"/>
  <c r="V20" i="17" s="1"/>
  <c r="W20" i="17" s="1"/>
  <c r="U43" i="17"/>
  <c r="V43" i="17" s="1"/>
  <c r="W43" i="17" s="1"/>
  <c r="U34" i="17"/>
  <c r="V34" i="17" s="1"/>
  <c r="W34" i="17" s="1"/>
  <c r="U32" i="17"/>
  <c r="V32" i="17" s="1"/>
  <c r="W32" i="17" s="1"/>
  <c r="U25" i="17"/>
  <c r="V25" i="17" s="1"/>
  <c r="W25" i="17" s="1"/>
  <c r="U24" i="17"/>
  <c r="V24" i="17" s="1"/>
  <c r="W24" i="17" s="1"/>
  <c r="U40" i="17"/>
  <c r="V40" i="17" s="1"/>
  <c r="W40" i="17" s="1"/>
  <c r="U29" i="17"/>
  <c r="V29" i="17" s="1"/>
  <c r="W29" i="17" s="1"/>
  <c r="U41" i="17"/>
  <c r="V41" i="17" s="1"/>
  <c r="W41" i="17" s="1"/>
  <c r="U33" i="17"/>
  <c r="V33" i="17" s="1"/>
  <c r="W33" i="17" s="1"/>
  <c r="U36" i="17"/>
  <c r="V36" i="17" s="1"/>
  <c r="W36" i="17" s="1"/>
  <c r="U39" i="17"/>
  <c r="V39" i="17" s="1"/>
  <c r="W39" i="17" s="1"/>
  <c r="X16" i="17" l="1"/>
  <c r="X47" i="17" s="1"/>
  <c r="X19" i="17" l="1"/>
  <c r="X48" i="17"/>
  <c r="X26" i="17"/>
  <c r="X45" i="17"/>
  <c r="X34" i="17"/>
  <c r="X31" i="17"/>
  <c r="X44" i="17"/>
  <c r="X35" i="17"/>
  <c r="X17" i="17"/>
  <c r="X46" i="17"/>
  <c r="X27" i="17"/>
  <c r="X38" i="17"/>
  <c r="X32" i="17"/>
  <c r="X37" i="17"/>
  <c r="X39" i="17"/>
  <c r="X36" i="17"/>
  <c r="X24" i="17"/>
  <c r="X29" i="17"/>
  <c r="X20" i="17"/>
  <c r="X41" i="17"/>
  <c r="X43" i="17"/>
  <c r="X22" i="17"/>
  <c r="X28" i="17"/>
  <c r="X18" i="17"/>
  <c r="X23" i="17"/>
  <c r="X40" i="17"/>
  <c r="X33" i="17"/>
  <c r="X25" i="17"/>
  <c r="X21" i="17"/>
  <c r="X30" i="17"/>
  <c r="X42" i="17"/>
  <c r="X15" i="17" l="1"/>
  <c r="Y15" i="17" s="1" a="1"/>
  <c r="Y15" i="17" s="1"/>
  <c r="AG4" i="17" l="1"/>
  <c r="Z15" i="17" a="1"/>
  <c r="Z15" i="17" s="1"/>
  <c r="Y22" i="17" s="1"/>
  <c r="Z22" i="17" s="1"/>
  <c r="AA22" i="17" s="1"/>
  <c r="Y17" i="17" l="1"/>
  <c r="Z17" i="17" s="1"/>
  <c r="AA17" i="17" s="1"/>
  <c r="Y47" i="17"/>
  <c r="Z47" i="17" s="1"/>
  <c r="AA47" i="17" s="1"/>
  <c r="Y35" i="17"/>
  <c r="Z35" i="17" s="1"/>
  <c r="AA35" i="17" s="1"/>
  <c r="Y23" i="17"/>
  <c r="Z23" i="17" s="1"/>
  <c r="AA23" i="17" s="1"/>
  <c r="Y20" i="17"/>
  <c r="Z20" i="17" s="1"/>
  <c r="AA20" i="17" s="1"/>
  <c r="Y48" i="17"/>
  <c r="Z48" i="17" s="1"/>
  <c r="AA48" i="17" s="1"/>
  <c r="Y42" i="17"/>
  <c r="Z42" i="17" s="1"/>
  <c r="AA42" i="17" s="1"/>
  <c r="Y38" i="17"/>
  <c r="Z38" i="17" s="1"/>
  <c r="AA38" i="17" s="1"/>
  <c r="Y28" i="17"/>
  <c r="Z28" i="17" s="1"/>
  <c r="AA28" i="17" s="1"/>
  <c r="AH4" i="17"/>
  <c r="Y45" i="17"/>
  <c r="Z45" i="17" s="1"/>
  <c r="AA45" i="17" s="1"/>
  <c r="Y26" i="17"/>
  <c r="Z26" i="17" s="1"/>
  <c r="AA26" i="17" s="1"/>
  <c r="Y44" i="17"/>
  <c r="Z44" i="17" s="1"/>
  <c r="AA44" i="17" s="1"/>
  <c r="Y40" i="17"/>
  <c r="Z40" i="17" s="1"/>
  <c r="AA40" i="17" s="1"/>
  <c r="Y29" i="17"/>
  <c r="Z29" i="17" s="1"/>
  <c r="AA29" i="17" s="1"/>
  <c r="Y43" i="17"/>
  <c r="Z43" i="17" s="1"/>
  <c r="AA43" i="17" s="1"/>
  <c r="Y33" i="17"/>
  <c r="Z33" i="17" s="1"/>
  <c r="AA33" i="17" s="1"/>
  <c r="Y21" i="17"/>
  <c r="Z21" i="17" s="1"/>
  <c r="AA21" i="17" s="1"/>
  <c r="Y31" i="17"/>
  <c r="Z31" i="17" s="1"/>
  <c r="AA31" i="17" s="1"/>
  <c r="Y27" i="17"/>
  <c r="Z27" i="17" s="1"/>
  <c r="AA27" i="17" s="1"/>
  <c r="Y41" i="17"/>
  <c r="Z41" i="17" s="1"/>
  <c r="AA41" i="17" s="1"/>
  <c r="Y19" i="17"/>
  <c r="Z19" i="17" s="1"/>
  <c r="AA19" i="17" s="1"/>
  <c r="Y34" i="17"/>
  <c r="Z34" i="17" s="1"/>
  <c r="AA34" i="17" s="1"/>
  <c r="Y36" i="17"/>
  <c r="Z36" i="17" s="1"/>
  <c r="AA36" i="17" s="1"/>
  <c r="Y37" i="17"/>
  <c r="Z37" i="17" s="1"/>
  <c r="AA37" i="17" s="1"/>
  <c r="Y24" i="17"/>
  <c r="Z24" i="17" s="1"/>
  <c r="AA24" i="17" s="1"/>
  <c r="Y30" i="17"/>
  <c r="Z30" i="17" s="1"/>
  <c r="AA30" i="17" s="1"/>
  <c r="Y25" i="17"/>
  <c r="Z25" i="17" s="1"/>
  <c r="AA25" i="17" s="1"/>
  <c r="Y32" i="17"/>
  <c r="Z32" i="17" s="1"/>
  <c r="AA32" i="17" s="1"/>
  <c r="Y46" i="17"/>
  <c r="Z46" i="17" s="1"/>
  <c r="AA46" i="17" s="1"/>
  <c r="Y39" i="17"/>
  <c r="Z39" i="17" s="1"/>
  <c r="AA39" i="17" s="1"/>
  <c r="Y18" i="17"/>
  <c r="Z18" i="17" s="1"/>
  <c r="AA18" i="17" s="1"/>
  <c r="AB16" i="17" l="1"/>
  <c r="AB40" i="17" s="1"/>
  <c r="AB26" i="17" l="1"/>
  <c r="AB41" i="17"/>
  <c r="AB39" i="17"/>
  <c r="AB25" i="17"/>
  <c r="AB47" i="17"/>
  <c r="AB33" i="17"/>
  <c r="AB24" i="17"/>
  <c r="AB22" i="17"/>
  <c r="AB38" i="17"/>
  <c r="AB17" i="17"/>
  <c r="AB44" i="17"/>
  <c r="AB36" i="17"/>
  <c r="AB31" i="17"/>
  <c r="AB27" i="17"/>
  <c r="AB19" i="17"/>
  <c r="AB48" i="17"/>
  <c r="AB29" i="17"/>
  <c r="AB45" i="17"/>
  <c r="AB28" i="17"/>
  <c r="AB42" i="17"/>
  <c r="AB35" i="17"/>
  <c r="AB20" i="17"/>
  <c r="AB21" i="17"/>
  <c r="AB23" i="17"/>
  <c r="AB34" i="17"/>
  <c r="AB30" i="17"/>
  <c r="AB46" i="17"/>
  <c r="AB37" i="17"/>
  <c r="AB18" i="17"/>
  <c r="AB32" i="17"/>
  <c r="AB43" i="17"/>
  <c r="AB15" i="17" l="1"/>
  <c r="AC15" i="17" l="1" a="1"/>
  <c r="AC15" i="17" s="1"/>
  <c r="AD15" i="17" a="1"/>
  <c r="AD15" i="17" s="1"/>
  <c r="AH5" i="17" s="1"/>
  <c r="AC37" i="17" l="1"/>
  <c r="AD37" i="17" s="1"/>
  <c r="AE37" i="17" s="1"/>
  <c r="AC27" i="17"/>
  <c r="AD27" i="17" s="1"/>
  <c r="AE27" i="17" s="1"/>
  <c r="AC48" i="17"/>
  <c r="AD48" i="17" s="1"/>
  <c r="AE48" i="17" s="1"/>
  <c r="AC22" i="17"/>
  <c r="AD22" i="17" s="1"/>
  <c r="AE22" i="17" s="1"/>
  <c r="AG5" i="17"/>
  <c r="AC47" i="17"/>
  <c r="AD47" i="17" s="1"/>
  <c r="AE47" i="17" s="1"/>
  <c r="AC44" i="17"/>
  <c r="AD44" i="17" s="1"/>
  <c r="AE44" i="17" s="1"/>
  <c r="AC42" i="17"/>
  <c r="AD42" i="17" s="1"/>
  <c r="AE42" i="17" s="1"/>
  <c r="AC38" i="17"/>
  <c r="AD38" i="17" s="1"/>
  <c r="AE38" i="17" s="1"/>
  <c r="AC43" i="17"/>
  <c r="AD43" i="17" s="1"/>
  <c r="AE43" i="17" s="1"/>
  <c r="AC41" i="17"/>
  <c r="AD41" i="17" s="1"/>
  <c r="AE41" i="17" s="1"/>
  <c r="AC24" i="17"/>
  <c r="AD24" i="17" s="1"/>
  <c r="AE24" i="17" s="1"/>
  <c r="AC40" i="17"/>
  <c r="AD40" i="17" s="1"/>
  <c r="AE40" i="17" s="1"/>
  <c r="AC26" i="17"/>
  <c r="AD26" i="17" s="1"/>
  <c r="AE26" i="17" s="1"/>
  <c r="AC20" i="17"/>
  <c r="AD20" i="17" s="1"/>
  <c r="AE20" i="17" s="1"/>
  <c r="AC34" i="17"/>
  <c r="AD34" i="17" s="1"/>
  <c r="AE34" i="17" s="1"/>
  <c r="AC17" i="17"/>
  <c r="AD17" i="17" s="1"/>
  <c r="AE17" i="17" s="1"/>
  <c r="AC19" i="17"/>
  <c r="AD19" i="17" s="1"/>
  <c r="AE19" i="17" s="1"/>
  <c r="AC31" i="17"/>
  <c r="AD31" i="17" s="1"/>
  <c r="AE31" i="17" s="1"/>
  <c r="AC18" i="17"/>
  <c r="AD18" i="17" s="1"/>
  <c r="AE18" i="17" s="1"/>
  <c r="AC39" i="17"/>
  <c r="AD39" i="17" s="1"/>
  <c r="AE39" i="17" s="1"/>
  <c r="AC46" i="17"/>
  <c r="AD46" i="17" s="1"/>
  <c r="AE46" i="17" s="1"/>
  <c r="AC32" i="17"/>
  <c r="AD32" i="17" s="1"/>
  <c r="AE32" i="17" s="1"/>
  <c r="AC28" i="17"/>
  <c r="AD28" i="17" s="1"/>
  <c r="AE28" i="17" s="1"/>
  <c r="AC36" i="17"/>
  <c r="AD36" i="17" s="1"/>
  <c r="AE36" i="17" s="1"/>
  <c r="AC25" i="17"/>
  <c r="AD25" i="17" s="1"/>
  <c r="AE25" i="17" s="1"/>
  <c r="AC29" i="17"/>
  <c r="AD29" i="17" s="1"/>
  <c r="AE29" i="17" s="1"/>
  <c r="AC45" i="17"/>
  <c r="AD45" i="17" s="1"/>
  <c r="AE45" i="17" s="1"/>
  <c r="AC23" i="17"/>
  <c r="AD23" i="17" s="1"/>
  <c r="AE23" i="17" s="1"/>
  <c r="AC30" i="17"/>
  <c r="AD30" i="17" s="1"/>
  <c r="AE30" i="17" s="1"/>
  <c r="AC21" i="17"/>
  <c r="AD21" i="17" s="1"/>
  <c r="AE21" i="17" s="1"/>
  <c r="AC33" i="17"/>
  <c r="AD33" i="17" s="1"/>
  <c r="AE33" i="17" s="1"/>
  <c r="AC35" i="17"/>
  <c r="AD35" i="17" s="1"/>
  <c r="AE35" i="17" s="1"/>
  <c r="AF16" i="17" l="1"/>
  <c r="AF33" i="17" s="1"/>
  <c r="AF47" i="17" l="1"/>
  <c r="AF45" i="17"/>
  <c r="AF43" i="17"/>
  <c r="AF38" i="17"/>
  <c r="AF28" i="17"/>
  <c r="AF34" i="17"/>
  <c r="AF42" i="17"/>
  <c r="AF40" i="17"/>
  <c r="AF30" i="17"/>
  <c r="AF24" i="17"/>
  <c r="AF23" i="17"/>
  <c r="AF26" i="17"/>
  <c r="AF29" i="17"/>
  <c r="AF21" i="17"/>
  <c r="AF32" i="17"/>
  <c r="AF48" i="17"/>
  <c r="AF18" i="17"/>
  <c r="AF39" i="17"/>
  <c r="AF19" i="17"/>
  <c r="AF22" i="17"/>
  <c r="AF41" i="17"/>
  <c r="AF35" i="17"/>
  <c r="AF27" i="17"/>
  <c r="AF25" i="17"/>
  <c r="AF37" i="17"/>
  <c r="AF44" i="17"/>
  <c r="AF31" i="17"/>
  <c r="AF36" i="17"/>
  <c r="AF17" i="17"/>
  <c r="AF46" i="17"/>
  <c r="AF20" i="17"/>
  <c r="AF15" i="17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<sst xmlns="http://schemas.openxmlformats.org/spreadsheetml/2006/main" count="418" uniqueCount="121">
  <si>
    <t>Refractive index of substrast</t>
    <phoneticPr fontId="1" type="noConversion"/>
  </si>
  <si>
    <t>wavelength</t>
    <phoneticPr fontId="1" type="noConversion"/>
  </si>
  <si>
    <t>FOV center</t>
    <phoneticPr fontId="1" type="noConversion"/>
  </si>
  <si>
    <t>Horizontal</t>
    <phoneticPr fontId="1" type="noConversion"/>
  </si>
  <si>
    <t>Vertical</t>
    <phoneticPr fontId="1" type="noConversion"/>
  </si>
  <si>
    <t>FOV</t>
    <phoneticPr fontId="1" type="noConversion"/>
  </si>
  <si>
    <t>Surrounding refractive index</t>
    <phoneticPr fontId="1" type="noConversion"/>
  </si>
  <si>
    <t>inner circle</t>
    <phoneticPr fontId="1" type="noConversion"/>
  </si>
  <si>
    <t>x</t>
    <phoneticPr fontId="1" type="noConversion"/>
  </si>
  <si>
    <t>y</t>
    <phoneticPr fontId="1" type="noConversion"/>
  </si>
  <si>
    <t>a</t>
    <phoneticPr fontId="1" type="noConversion"/>
  </si>
  <si>
    <t>outer circle</t>
    <phoneticPr fontId="1" type="noConversion"/>
  </si>
  <si>
    <t>theta</t>
    <phoneticPr fontId="1" type="noConversion"/>
  </si>
  <si>
    <t>edge_h+</t>
    <phoneticPr fontId="1" type="noConversion"/>
  </si>
  <si>
    <t>edge_h-</t>
    <phoneticPr fontId="1" type="noConversion"/>
  </si>
  <si>
    <t>edge_v-</t>
    <phoneticPr fontId="1" type="noConversion"/>
  </si>
  <si>
    <t>edge_v+</t>
    <phoneticPr fontId="1" type="noConversion"/>
  </si>
  <si>
    <t>Diffracted by Doe1</t>
    <phoneticPr fontId="1" type="noConversion"/>
  </si>
  <si>
    <t>Diffracted by Doe2</t>
    <phoneticPr fontId="1" type="noConversion"/>
  </si>
  <si>
    <t>Diffracted by Doe3</t>
    <phoneticPr fontId="1" type="noConversion"/>
  </si>
  <si>
    <t>phi</t>
    <phoneticPr fontId="1" type="noConversion"/>
  </si>
  <si>
    <t>Input FOV</t>
    <phoneticPr fontId="1" type="noConversion"/>
  </si>
  <si>
    <t>b1</t>
  </si>
  <si>
    <t>b2</t>
  </si>
  <si>
    <t>b3</t>
  </si>
  <si>
    <t>c1</t>
  </si>
  <si>
    <t>c2</t>
  </si>
  <si>
    <t>c3</t>
  </si>
  <si>
    <t>wavelength</t>
  </si>
  <si>
    <t>n</t>
    <phoneticPr fontId="1" type="noConversion"/>
  </si>
  <si>
    <t>max</t>
    <phoneticPr fontId="1" type="noConversion"/>
  </si>
  <si>
    <t>min</t>
    <phoneticPr fontId="1" type="noConversion"/>
  </si>
  <si>
    <t>manual</t>
    <phoneticPr fontId="1" type="noConversion"/>
  </si>
  <si>
    <t>kx</t>
    <phoneticPr fontId="1" type="noConversion"/>
  </si>
  <si>
    <t>ky</t>
    <phoneticPr fontId="1" type="noConversion"/>
  </si>
  <si>
    <t>Layout</t>
    <phoneticPr fontId="1" type="noConversion"/>
  </si>
  <si>
    <t>x0</t>
    <phoneticPr fontId="1" type="noConversion"/>
  </si>
  <si>
    <t>y0</t>
    <phoneticPr fontId="1" type="noConversion"/>
  </si>
  <si>
    <t>z0</t>
    <phoneticPr fontId="1" type="noConversion"/>
  </si>
  <si>
    <t>Eyebox</t>
    <phoneticPr fontId="1" type="noConversion"/>
  </si>
  <si>
    <t>IC</t>
    <phoneticPr fontId="1" type="noConversion"/>
  </si>
  <si>
    <t>EG</t>
    <phoneticPr fontId="1" type="noConversion"/>
  </si>
  <si>
    <t>OC</t>
    <phoneticPr fontId="1" type="noConversion"/>
  </si>
  <si>
    <t>h</t>
    <phoneticPr fontId="1" type="noConversion"/>
  </si>
  <si>
    <t>v</t>
    <phoneticPr fontId="1" type="noConversion"/>
  </si>
  <si>
    <t>width</t>
    <phoneticPr fontId="1" type="noConversion"/>
  </si>
  <si>
    <t>length / radius</t>
    <phoneticPr fontId="1" type="noConversion"/>
  </si>
  <si>
    <t>x-</t>
    <phoneticPr fontId="1" type="noConversion"/>
  </si>
  <si>
    <t>x+</t>
    <phoneticPr fontId="1" type="noConversion"/>
  </si>
  <si>
    <t>y-</t>
    <phoneticPr fontId="1" type="noConversion"/>
  </si>
  <si>
    <t>y+</t>
    <phoneticPr fontId="1" type="noConversion"/>
  </si>
  <si>
    <t>delta_phi</t>
    <phoneticPr fontId="1" type="noConversion"/>
  </si>
  <si>
    <t>x1</t>
    <phoneticPr fontId="1" type="noConversion"/>
  </si>
  <si>
    <t>y1</t>
    <phoneticPr fontId="1" type="noConversion"/>
  </si>
  <si>
    <t>K-domain</t>
    <phoneticPr fontId="1" type="noConversion"/>
  </si>
  <si>
    <t>wavelength number</t>
    <phoneticPr fontId="1" type="noConversion"/>
  </si>
  <si>
    <t>Design wavelength number</t>
    <phoneticPr fontId="1" type="noConversion"/>
  </si>
  <si>
    <t>Direction</t>
    <phoneticPr fontId="1" type="noConversion"/>
  </si>
  <si>
    <t>Period</t>
    <phoneticPr fontId="1" type="noConversion"/>
  </si>
  <si>
    <t>m1</t>
    <phoneticPr fontId="1" type="noConversion"/>
  </si>
  <si>
    <t>Loc_a</t>
    <phoneticPr fontId="1" type="noConversion"/>
  </si>
  <si>
    <t>Loc_b</t>
    <phoneticPr fontId="1" type="noConversion"/>
  </si>
  <si>
    <t>Loc_c</t>
    <phoneticPr fontId="1" type="noConversion"/>
  </si>
  <si>
    <t>Loc_d</t>
    <phoneticPr fontId="1" type="noConversion"/>
  </si>
  <si>
    <t>m2</t>
    <phoneticPr fontId="1" type="noConversion"/>
  </si>
  <si>
    <t>b1</t>
    <phoneticPr fontId="1" type="noConversion"/>
  </si>
  <si>
    <t>b2</t>
    <phoneticPr fontId="1" type="noConversion"/>
  </si>
  <si>
    <t>Lic_a</t>
    <phoneticPr fontId="1" type="noConversion"/>
  </si>
  <si>
    <t>Lic_b</t>
    <phoneticPr fontId="1" type="noConversion"/>
  </si>
  <si>
    <t>x</t>
    <phoneticPr fontId="1" type="noConversion"/>
  </si>
  <si>
    <t>y</t>
    <phoneticPr fontId="1" type="noConversion"/>
  </si>
  <si>
    <t>b1a1</t>
    <phoneticPr fontId="1" type="noConversion"/>
  </si>
  <si>
    <t>m</t>
    <phoneticPr fontId="1" type="noConversion"/>
  </si>
  <si>
    <t>a1a1</t>
    <phoneticPr fontId="1" type="noConversion"/>
  </si>
  <si>
    <t>c1a1</t>
    <phoneticPr fontId="1" type="noConversion"/>
  </si>
  <si>
    <t>d1a1</t>
    <phoneticPr fontId="1" type="noConversion"/>
  </si>
  <si>
    <t>a2a1</t>
    <phoneticPr fontId="1" type="noConversion"/>
  </si>
  <si>
    <t>b2a1</t>
    <phoneticPr fontId="1" type="noConversion"/>
  </si>
  <si>
    <t>c2a1</t>
    <phoneticPr fontId="1" type="noConversion"/>
  </si>
  <si>
    <t>d2a1</t>
    <phoneticPr fontId="1" type="noConversion"/>
  </si>
  <si>
    <t>a1a2</t>
    <phoneticPr fontId="1" type="noConversion"/>
  </si>
  <si>
    <t>a2a2</t>
    <phoneticPr fontId="1" type="noConversion"/>
  </si>
  <si>
    <t>b1a2</t>
    <phoneticPr fontId="1" type="noConversion"/>
  </si>
  <si>
    <t>c1a2</t>
    <phoneticPr fontId="1" type="noConversion"/>
  </si>
  <si>
    <t>d1a2</t>
    <phoneticPr fontId="1" type="noConversion"/>
  </si>
  <si>
    <t>a1b1</t>
    <phoneticPr fontId="1" type="noConversion"/>
  </si>
  <si>
    <t>b1b1</t>
    <phoneticPr fontId="1" type="noConversion"/>
  </si>
  <si>
    <t>c1b1</t>
    <phoneticPr fontId="1" type="noConversion"/>
  </si>
  <si>
    <t>d1b1</t>
    <phoneticPr fontId="1" type="noConversion"/>
  </si>
  <si>
    <t>a1b2</t>
    <phoneticPr fontId="1" type="noConversion"/>
  </si>
  <si>
    <t>b1b2</t>
    <phoneticPr fontId="1" type="noConversion"/>
  </si>
  <si>
    <t>c1b2</t>
    <phoneticPr fontId="1" type="noConversion"/>
  </si>
  <si>
    <t>d1b2</t>
    <phoneticPr fontId="1" type="noConversion"/>
  </si>
  <si>
    <t>b2a2</t>
    <phoneticPr fontId="1" type="noConversion"/>
  </si>
  <si>
    <t>c2a2</t>
    <phoneticPr fontId="1" type="noConversion"/>
  </si>
  <si>
    <t>d2a2</t>
    <phoneticPr fontId="1" type="noConversion"/>
  </si>
  <si>
    <t>a2b1</t>
    <phoneticPr fontId="1" type="noConversion"/>
  </si>
  <si>
    <t>b2b1</t>
    <phoneticPr fontId="1" type="noConversion"/>
  </si>
  <si>
    <t>c2b1</t>
    <phoneticPr fontId="1" type="noConversion"/>
  </si>
  <si>
    <t>d2b1</t>
    <phoneticPr fontId="1" type="noConversion"/>
  </si>
  <si>
    <t>a2b2</t>
    <phoneticPr fontId="1" type="noConversion"/>
  </si>
  <si>
    <t>b2b2</t>
    <phoneticPr fontId="1" type="noConversion"/>
  </si>
  <si>
    <t>c2b2</t>
    <phoneticPr fontId="1" type="noConversion"/>
  </si>
  <si>
    <t>d2b2</t>
    <phoneticPr fontId="1" type="noConversion"/>
  </si>
  <si>
    <t>x2</t>
    <phoneticPr fontId="1" type="noConversion"/>
  </si>
  <si>
    <t>y2</t>
    <phoneticPr fontId="1" type="noConversion"/>
  </si>
  <si>
    <t>iter0</t>
    <phoneticPr fontId="1" type="noConversion"/>
  </si>
  <si>
    <t>r</t>
    <phoneticPr fontId="1" type="noConversion"/>
  </si>
  <si>
    <t>iter1</t>
    <phoneticPr fontId="1" type="noConversion"/>
  </si>
  <si>
    <t>iter2</t>
    <phoneticPr fontId="1" type="noConversion"/>
  </si>
  <si>
    <t>iter3</t>
    <phoneticPr fontId="1" type="noConversion"/>
  </si>
  <si>
    <t>iter4</t>
    <phoneticPr fontId="1" type="noConversion"/>
  </si>
  <si>
    <t>dot_IC</t>
    <phoneticPr fontId="1" type="noConversion"/>
  </si>
  <si>
    <t>dot_OC</t>
    <phoneticPr fontId="1" type="noConversion"/>
  </si>
  <si>
    <t>exist</t>
    <phoneticPr fontId="1" type="noConversion"/>
  </si>
  <si>
    <t>tir</t>
    <phoneticPr fontId="1" type="noConversion"/>
  </si>
  <si>
    <t>kx</t>
    <phoneticPr fontId="1" type="noConversion"/>
  </si>
  <si>
    <t>ky</t>
    <phoneticPr fontId="1" type="noConversion"/>
  </si>
  <si>
    <t>theta</t>
    <phoneticPr fontId="1" type="noConversion"/>
  </si>
  <si>
    <t>phi</t>
    <phoneticPr fontId="1" type="noConversion"/>
  </si>
  <si>
    <t>No solution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</si>
</sst>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E+00"/>
    <numFmt numFmtId="177" formatCode="0.000_);[Red]\(0.000\)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  <font>
      <b/>
      <sz val="16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0" fontId="2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14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2" fontId="3" fillId="0" borderId="15" xfId="0" applyNumberFormat="1" applyFont="1" applyBorder="1">
      <alignment vertical="center"/>
    </xf>
    <xf numFmtId="2" fontId="3" fillId="0" borderId="16" xfId="0" applyNumberFormat="1" applyFont="1" applyBorder="1">
      <alignment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177" fontId="0" fillId="0" borderId="7" xfId="0" applyNumberFormat="1" applyBorder="1">
      <alignment vertical="center"/>
    </xf>
    <xf numFmtId="0" fontId="0" fillId="0" borderId="0" xfId="0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25">
    <dxf>
      <font>
        <color theme="1"/>
      </font>
      <fill>
        <patternFill>
          <bgColor rgb="FFFF0000"/>
        </patternFill>
      </fill>
    </dxf>
    <dxf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00FF"/>
      <color rgb="FF00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094732865611274E-2"/>
          <c:y val="1.3840277777777778E-2"/>
          <c:w val="0.94135763336455369"/>
          <c:h val="0.972319444444444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'k1'!$A$1</c:f>
              <c:strCache>
                <c:ptCount val="1"/>
                <c:pt idx="0">
                  <c:v>inner circle</c:v>
                </c:pt>
              </c:strCache>
            </c:strRef>
          </c:tx>
          <c:spPr>
            <a:ln w="1905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none"/>
          </c:marker>
          <c:xVal>
            <c:numRef>
              <c:f>'k1'!$B$3:$B$39</c:f>
              <c:numCache>
                <c:formatCode>General</c:formatCode>
                <c:ptCount val="37"/>
                <c:pt idx="0">
                  <c:v>1</c:v>
                </c:pt>
                <c:pt idx="1">
                  <c:v>0.98480775301220802</c:v>
                </c:pt>
                <c:pt idx="2">
                  <c:v>0.93969262078590843</c:v>
                </c:pt>
                <c:pt idx="3">
                  <c:v>0.86602540378443871</c:v>
                </c:pt>
                <c:pt idx="4">
                  <c:v>0.76604444311897801</c:v>
                </c:pt>
                <c:pt idx="5">
                  <c:v>0.64278760968653936</c:v>
                </c:pt>
                <c:pt idx="6">
                  <c:v>0.50000000000000011</c:v>
                </c:pt>
                <c:pt idx="7">
                  <c:v>0.34202014332566882</c:v>
                </c:pt>
                <c:pt idx="8">
                  <c:v>0.17364817766693041</c:v>
                </c:pt>
                <c:pt idx="9">
                  <c:v>6.1257422745431001E-17</c:v>
                </c:pt>
                <c:pt idx="10">
                  <c:v>-0.1736481776669303</c:v>
                </c:pt>
                <c:pt idx="11">
                  <c:v>-0.34202014332566871</c:v>
                </c:pt>
                <c:pt idx="12">
                  <c:v>-0.49999999999999978</c:v>
                </c:pt>
                <c:pt idx="13">
                  <c:v>-0.64278760968653936</c:v>
                </c:pt>
                <c:pt idx="14">
                  <c:v>-0.7660444431189779</c:v>
                </c:pt>
                <c:pt idx="15">
                  <c:v>-0.86602540378443871</c:v>
                </c:pt>
                <c:pt idx="16">
                  <c:v>-0.93969262078590832</c:v>
                </c:pt>
                <c:pt idx="17">
                  <c:v>-0.98480775301220802</c:v>
                </c:pt>
                <c:pt idx="18">
                  <c:v>-1</c:v>
                </c:pt>
                <c:pt idx="19">
                  <c:v>-0.98480775301220802</c:v>
                </c:pt>
                <c:pt idx="20">
                  <c:v>-0.93969262078590843</c:v>
                </c:pt>
                <c:pt idx="21">
                  <c:v>-0.8660254037844386</c:v>
                </c:pt>
                <c:pt idx="22">
                  <c:v>-0.76604444311897801</c:v>
                </c:pt>
                <c:pt idx="23">
                  <c:v>-0.64278760968653947</c:v>
                </c:pt>
                <c:pt idx="24">
                  <c:v>-0.50000000000000044</c:v>
                </c:pt>
                <c:pt idx="25">
                  <c:v>-0.34202014332566938</c:v>
                </c:pt>
                <c:pt idx="26">
                  <c:v>-0.17364817766693033</c:v>
                </c:pt>
                <c:pt idx="27">
                  <c:v>-1.83772268236293E-16</c:v>
                </c:pt>
                <c:pt idx="28">
                  <c:v>0.17364817766692997</c:v>
                </c:pt>
                <c:pt idx="29">
                  <c:v>0.34202014332566899</c:v>
                </c:pt>
                <c:pt idx="30">
                  <c:v>0.50000000000000011</c:v>
                </c:pt>
                <c:pt idx="31">
                  <c:v>0.64278760968653925</c:v>
                </c:pt>
                <c:pt idx="32">
                  <c:v>0.76604444311897779</c:v>
                </c:pt>
                <c:pt idx="33">
                  <c:v>0.86602540378443837</c:v>
                </c:pt>
                <c:pt idx="34">
                  <c:v>0.93969262078590809</c:v>
                </c:pt>
                <c:pt idx="35">
                  <c:v>0.98480775301220802</c:v>
                </c:pt>
                <c:pt idx="36">
                  <c:v>1</c:v>
                </c:pt>
              </c:numCache>
            </c:numRef>
          </c:xVal>
          <c:yVal>
            <c:numRef>
              <c:f>'k1'!$C$3:$C$39</c:f>
              <c:numCache>
                <c:formatCode>General</c:formatCode>
                <c:ptCount val="37"/>
                <c:pt idx="0">
                  <c:v>0</c:v>
                </c:pt>
                <c:pt idx="1">
                  <c:v>0.17364817766693033</c:v>
                </c:pt>
                <c:pt idx="2">
                  <c:v>0.34202014332566871</c:v>
                </c:pt>
                <c:pt idx="3">
                  <c:v>0.49999999999999994</c:v>
                </c:pt>
                <c:pt idx="4">
                  <c:v>0.64278760968653925</c:v>
                </c:pt>
                <c:pt idx="5">
                  <c:v>0.76604444311897801</c:v>
                </c:pt>
                <c:pt idx="6">
                  <c:v>0.8660254037844386</c:v>
                </c:pt>
                <c:pt idx="7">
                  <c:v>0.93969262078590832</c:v>
                </c:pt>
                <c:pt idx="8">
                  <c:v>0.98480775301220802</c:v>
                </c:pt>
                <c:pt idx="9">
                  <c:v>1</c:v>
                </c:pt>
                <c:pt idx="10">
                  <c:v>0.98480775301220802</c:v>
                </c:pt>
                <c:pt idx="11">
                  <c:v>0.93969262078590843</c:v>
                </c:pt>
                <c:pt idx="12">
                  <c:v>0.86602540378443871</c:v>
                </c:pt>
                <c:pt idx="13">
                  <c:v>0.76604444311897801</c:v>
                </c:pt>
                <c:pt idx="14">
                  <c:v>0.64278760968653947</c:v>
                </c:pt>
                <c:pt idx="15">
                  <c:v>0.49999999999999994</c:v>
                </c:pt>
                <c:pt idx="16">
                  <c:v>0.34202014332566888</c:v>
                </c:pt>
                <c:pt idx="17">
                  <c:v>0.17364817766693069</c:v>
                </c:pt>
                <c:pt idx="18">
                  <c:v>1.22514845490862E-16</c:v>
                </c:pt>
                <c:pt idx="19">
                  <c:v>-0.17364817766693047</c:v>
                </c:pt>
                <c:pt idx="20">
                  <c:v>-0.34202014332566866</c:v>
                </c:pt>
                <c:pt idx="21">
                  <c:v>-0.50000000000000011</c:v>
                </c:pt>
                <c:pt idx="22">
                  <c:v>-0.64278760968653925</c:v>
                </c:pt>
                <c:pt idx="23">
                  <c:v>-0.7660444431189779</c:v>
                </c:pt>
                <c:pt idx="24">
                  <c:v>-0.86602540378443837</c:v>
                </c:pt>
                <c:pt idx="25">
                  <c:v>-0.93969262078590821</c:v>
                </c:pt>
                <c:pt idx="26">
                  <c:v>-0.98480775301220802</c:v>
                </c:pt>
                <c:pt idx="27">
                  <c:v>-1</c:v>
                </c:pt>
                <c:pt idx="28">
                  <c:v>-0.98480775301220813</c:v>
                </c:pt>
                <c:pt idx="29">
                  <c:v>-0.93969262078590832</c:v>
                </c:pt>
                <c:pt idx="30">
                  <c:v>-0.8660254037844386</c:v>
                </c:pt>
                <c:pt idx="31">
                  <c:v>-0.76604444311897812</c:v>
                </c:pt>
                <c:pt idx="32">
                  <c:v>-0.64278760968653958</c:v>
                </c:pt>
                <c:pt idx="33">
                  <c:v>-0.50000000000000044</c:v>
                </c:pt>
                <c:pt idx="34">
                  <c:v>-0.34202014332566943</c:v>
                </c:pt>
                <c:pt idx="35">
                  <c:v>-0.17364817766693039</c:v>
                </c:pt>
                <c:pt idx="36">
                  <c:v>-2.45029690981724E-16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13-4C18-80B1-34E9F002BB95}"/>
            </c:ext>
          </c:extLst>
        </c:ser>
        <c:ser>
          <c:idx val="1"/>
          <c:order val="1"/>
          <c:tx>
            <c:strRef>
              <c:f>'k1'!$D$1</c:f>
              <c:strCache>
                <c:ptCount val="1"/>
                <c:pt idx="0">
                  <c:v>outer circle</c:v>
                </c:pt>
              </c:strCache>
            </c:strRef>
          </c:tx>
          <c:spPr>
            <a:ln w="1905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none"/>
          </c:marker>
          <c:xVal>
            <c:numRef>
              <c:f>'k1'!$E$3:$E$39</c:f>
              <c:numCache>
                <c:formatCode>General</c:formatCode>
                <c:ptCount val="37"/>
                <c:pt idx="0">
                  <c:v>2</c:v>
                </c:pt>
                <c:pt idx="1">
                  <c:v>1.969615506024416</c:v>
                </c:pt>
                <c:pt idx="2">
                  <c:v>1.8793852415718169</c:v>
                </c:pt>
                <c:pt idx="3">
                  <c:v>1.7320508075688774</c:v>
                </c:pt>
                <c:pt idx="4">
                  <c:v>1.532088886237956</c:v>
                </c:pt>
                <c:pt idx="5">
                  <c:v>1.2855752193730787</c:v>
                </c:pt>
                <c:pt idx="6">
                  <c:v>1.0000000000000002</c:v>
                </c:pt>
                <c:pt idx="7">
                  <c:v>0.68404028665133765</c:v>
                </c:pt>
                <c:pt idx="8">
                  <c:v>0.34729635533386083</c:v>
                </c:pt>
                <c:pt idx="9">
                  <c:v>1.22514845490862E-16</c:v>
                </c:pt>
                <c:pt idx="10">
                  <c:v>-0.34729635533386061</c:v>
                </c:pt>
                <c:pt idx="11">
                  <c:v>-0.68404028665133743</c:v>
                </c:pt>
                <c:pt idx="12">
                  <c:v>-0.99999999999999956</c:v>
                </c:pt>
                <c:pt idx="13">
                  <c:v>-1.2855752193730787</c:v>
                </c:pt>
                <c:pt idx="14">
                  <c:v>-1.5320888862379558</c:v>
                </c:pt>
                <c:pt idx="15">
                  <c:v>-1.7320508075688774</c:v>
                </c:pt>
                <c:pt idx="16">
                  <c:v>-1.8793852415718166</c:v>
                </c:pt>
                <c:pt idx="17">
                  <c:v>-1.969615506024416</c:v>
                </c:pt>
                <c:pt idx="18">
                  <c:v>-2</c:v>
                </c:pt>
                <c:pt idx="19">
                  <c:v>-1.969615506024416</c:v>
                </c:pt>
                <c:pt idx="20">
                  <c:v>-1.8793852415718169</c:v>
                </c:pt>
                <c:pt idx="21">
                  <c:v>-1.7320508075688772</c:v>
                </c:pt>
                <c:pt idx="22">
                  <c:v>-1.532088886237956</c:v>
                </c:pt>
                <c:pt idx="23">
                  <c:v>-1.2855752193730789</c:v>
                </c:pt>
                <c:pt idx="24">
                  <c:v>-1.0000000000000009</c:v>
                </c:pt>
                <c:pt idx="25">
                  <c:v>-0.68404028665133876</c:v>
                </c:pt>
                <c:pt idx="26">
                  <c:v>-0.34729635533386066</c:v>
                </c:pt>
                <c:pt idx="27">
                  <c:v>-3.67544536472586E-16</c:v>
                </c:pt>
                <c:pt idx="28">
                  <c:v>0.34729635533385994</c:v>
                </c:pt>
                <c:pt idx="29">
                  <c:v>0.68404028665133798</c:v>
                </c:pt>
                <c:pt idx="30">
                  <c:v>1.0000000000000002</c:v>
                </c:pt>
                <c:pt idx="31">
                  <c:v>1.2855752193730785</c:v>
                </c:pt>
                <c:pt idx="32">
                  <c:v>1.5320888862379556</c:v>
                </c:pt>
                <c:pt idx="33">
                  <c:v>1.7320508075688767</c:v>
                </c:pt>
                <c:pt idx="34">
                  <c:v>1.8793852415718162</c:v>
                </c:pt>
                <c:pt idx="35">
                  <c:v>1.969615506024416</c:v>
                </c:pt>
                <c:pt idx="36">
                  <c:v>2</c:v>
                </c:pt>
              </c:numCache>
            </c:numRef>
          </c:xVal>
          <c:yVal>
            <c:numRef>
              <c:f>'k1'!$F$3:$F$39</c:f>
              <c:numCache>
                <c:formatCode>General</c:formatCode>
                <c:ptCount val="37"/>
                <c:pt idx="0">
                  <c:v>0</c:v>
                </c:pt>
                <c:pt idx="1">
                  <c:v>0.34729635533386066</c:v>
                </c:pt>
                <c:pt idx="2">
                  <c:v>0.68404028665133743</c:v>
                </c:pt>
                <c:pt idx="3">
                  <c:v>0.99999999999999989</c:v>
                </c:pt>
                <c:pt idx="4">
                  <c:v>1.2855752193730785</c:v>
                </c:pt>
                <c:pt idx="5">
                  <c:v>1.532088886237956</c:v>
                </c:pt>
                <c:pt idx="6">
                  <c:v>1.7320508075688772</c:v>
                </c:pt>
                <c:pt idx="7">
                  <c:v>1.8793852415718166</c:v>
                </c:pt>
                <c:pt idx="8">
                  <c:v>1.969615506024416</c:v>
                </c:pt>
                <c:pt idx="9">
                  <c:v>2</c:v>
                </c:pt>
                <c:pt idx="10">
                  <c:v>1.969615506024416</c:v>
                </c:pt>
                <c:pt idx="11">
                  <c:v>1.8793852415718169</c:v>
                </c:pt>
                <c:pt idx="12">
                  <c:v>1.7320508075688774</c:v>
                </c:pt>
                <c:pt idx="13">
                  <c:v>1.532088886237956</c:v>
                </c:pt>
                <c:pt idx="14">
                  <c:v>1.2855752193730789</c:v>
                </c:pt>
                <c:pt idx="15">
                  <c:v>0.99999999999999989</c:v>
                </c:pt>
                <c:pt idx="16">
                  <c:v>0.68404028665133776</c:v>
                </c:pt>
                <c:pt idx="17">
                  <c:v>0.34729635533386138</c:v>
                </c:pt>
                <c:pt idx="18">
                  <c:v>2.45029690981724E-16</c:v>
                </c:pt>
                <c:pt idx="19">
                  <c:v>-0.34729635533386094</c:v>
                </c:pt>
                <c:pt idx="20">
                  <c:v>-0.68404028665133731</c:v>
                </c:pt>
                <c:pt idx="21">
                  <c:v>-1.0000000000000002</c:v>
                </c:pt>
                <c:pt idx="22">
                  <c:v>-1.2855752193730785</c:v>
                </c:pt>
                <c:pt idx="23">
                  <c:v>-1.5320888862379558</c:v>
                </c:pt>
                <c:pt idx="24">
                  <c:v>-1.7320508075688767</c:v>
                </c:pt>
                <c:pt idx="25">
                  <c:v>-1.8793852415718164</c:v>
                </c:pt>
                <c:pt idx="26">
                  <c:v>-1.969615506024416</c:v>
                </c:pt>
                <c:pt idx="27">
                  <c:v>-2</c:v>
                </c:pt>
                <c:pt idx="28">
                  <c:v>-1.9696155060244163</c:v>
                </c:pt>
                <c:pt idx="29">
                  <c:v>-1.8793852415718166</c:v>
                </c:pt>
                <c:pt idx="30">
                  <c:v>-1.7320508075688772</c:v>
                </c:pt>
                <c:pt idx="31">
                  <c:v>-1.5320888862379562</c:v>
                </c:pt>
                <c:pt idx="32">
                  <c:v>-1.2855752193730792</c:v>
                </c:pt>
                <c:pt idx="33">
                  <c:v>-1.0000000000000009</c:v>
                </c:pt>
                <c:pt idx="34">
                  <c:v>-0.68404028665133887</c:v>
                </c:pt>
                <c:pt idx="35">
                  <c:v>-0.34729635533386077</c:v>
                </c:pt>
                <c:pt idx="36">
                  <c:v>-4.90059381963448E-16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13-4C18-80B1-34E9F002BB95}"/>
            </c:ext>
          </c:extLst>
        </c:ser>
        <c:ser>
          <c:idx val="2"/>
          <c:order val="2"/>
          <c:tx>
            <c:v>input</c:v>
          </c:tx>
          <c:spPr>
            <a:ln w="19050" cap="flat" cmpd="sng" algn="ctr">
              <a:solidFill>
                <a:schemeClr val="tx1"/>
              </a:solidFill>
              <a:prstDash val="dash"/>
              <a:miter lim="800000"/>
            </a:ln>
            <a:effectLst/>
          </c:spPr>
          <c:marker>
            <c:symbol val="none"/>
          </c:marker>
          <c:xVal>
            <c:numRef>
              <c:f>'k1'!$I$5:$I$57</c:f>
              <c:numCache>
                <c:formatCode>General</c:formatCode>
                <c:ptCount val="53"/>
                <c:pt idx="0">
                  <c:v>-0.29654195678697232</c:v>
                </c:pt>
                <c:pt idx="1">
                  <c:v>-0.29804046508194998</c:v>
                </c:pt>
                <c:pt idx="2">
                  <c:v>-0.29920634470024859</c:v>
                </c:pt>
                <c:pt idx="3">
                  <c:v>-0.30003931119635729</c:v>
                </c:pt>
                <c:pt idx="4">
                  <c:v>-0.30053916792201169</c:v>
                </c:pt>
                <c:pt idx="5">
                  <c:v>-0.30070579950427312</c:v>
                </c:pt>
                <c:pt idx="6">
                  <c:v>-0.30053916792201169</c:v>
                </c:pt>
                <c:pt idx="7">
                  <c:v>-0.30003931119635729</c:v>
                </c:pt>
                <c:pt idx="8">
                  <c:v>-0.29920634470024859</c:v>
                </c:pt>
                <c:pt idx="9">
                  <c:v>-0.29804046508194998</c:v>
                </c:pt>
                <c:pt idx="10">
                  <c:v>-0.29654195678697232</c:v>
                </c:pt>
                <c:pt idx="14">
                  <c:v>-0.29654195678697232</c:v>
                </c:pt>
                <c:pt idx="15">
                  <c:v>-0.23845706356958102</c:v>
                </c:pt>
                <c:pt idx="16">
                  <c:v>-0.1795568848144925</c:v>
                </c:pt>
                <c:pt idx="17">
                  <c:v>-0.12004475807606822</c:v>
                </c:pt>
                <c:pt idx="18">
                  <c:v>-6.0124453547445153E-2</c:v>
                </c:pt>
                <c:pt idx="19">
                  <c:v>0</c:v>
                </c:pt>
                <c:pt idx="20">
                  <c:v>6.0124453547445153E-2</c:v>
                </c:pt>
                <c:pt idx="21">
                  <c:v>0.12004475807606822</c:v>
                </c:pt>
                <c:pt idx="22">
                  <c:v>0.1795568848144925</c:v>
                </c:pt>
                <c:pt idx="23">
                  <c:v>0.23845706356958102</c:v>
                </c:pt>
                <c:pt idx="24">
                  <c:v>0.29654195678697232</c:v>
                </c:pt>
                <c:pt idx="28">
                  <c:v>0.29654195678697232</c:v>
                </c:pt>
                <c:pt idx="29">
                  <c:v>0.29804046508194998</c:v>
                </c:pt>
                <c:pt idx="30">
                  <c:v>0.29920634470024859</c:v>
                </c:pt>
                <c:pt idx="31">
                  <c:v>0.30003931119635729</c:v>
                </c:pt>
                <c:pt idx="32">
                  <c:v>0.30053916792201169</c:v>
                </c:pt>
                <c:pt idx="33">
                  <c:v>0.30070579950427312</c:v>
                </c:pt>
                <c:pt idx="34">
                  <c:v>0.30053916792201169</c:v>
                </c:pt>
                <c:pt idx="35">
                  <c:v>0.30003931119635729</c:v>
                </c:pt>
                <c:pt idx="36">
                  <c:v>0.29920634470024859</c:v>
                </c:pt>
                <c:pt idx="37">
                  <c:v>0.29804046508194998</c:v>
                </c:pt>
                <c:pt idx="38">
                  <c:v>0.29654195678697232</c:v>
                </c:pt>
                <c:pt idx="42">
                  <c:v>0.29654195678697232</c:v>
                </c:pt>
                <c:pt idx="43">
                  <c:v>0.23845706356958102</c:v>
                </c:pt>
                <c:pt idx="44">
                  <c:v>0.1795568848144925</c:v>
                </c:pt>
                <c:pt idx="45">
                  <c:v>0.12004475807606822</c:v>
                </c:pt>
                <c:pt idx="46">
                  <c:v>6.0124453547445153E-2</c:v>
                </c:pt>
                <c:pt idx="47">
                  <c:v>0</c:v>
                </c:pt>
                <c:pt idx="48">
                  <c:v>-6.0124453547445153E-2</c:v>
                </c:pt>
                <c:pt idx="49">
                  <c:v>-0.12004475807606822</c:v>
                </c:pt>
                <c:pt idx="50">
                  <c:v>-0.1795568848144925</c:v>
                </c:pt>
                <c:pt idx="51">
                  <c:v>-0.23845706356958102</c:v>
                </c:pt>
                <c:pt idx="52">
                  <c:v>-0.29654195678697232</c:v>
                </c:pt>
              </c:numCache>
            </c:numRef>
          </c:xVal>
          <c:yVal>
            <c:numRef>
              <c:f>'k1'!$J$5:$J$57</c:f>
              <c:numCache>
                <c:formatCode>General</c:formatCode>
                <c:ptCount val="53"/>
                <c:pt idx="0">
                  <c:v>-0.16583745240358658</c:v>
                </c:pt>
                <c:pt idx="1">
                  <c:v>-0.13284813394504671</c:v>
                </c:pt>
                <c:pt idx="2">
                  <c:v>-9.9739850438906014E-2</c:v>
                </c:pt>
                <c:pt idx="3">
                  <c:v>-6.6542572409755835E-2</c:v>
                </c:pt>
                <c:pt idx="4">
                  <c:v>-3.3286074594705777E-2</c:v>
                </c:pt>
                <c:pt idx="5">
                  <c:v>0</c:v>
                </c:pt>
                <c:pt idx="6">
                  <c:v>3.3286074594705777E-2</c:v>
                </c:pt>
                <c:pt idx="7">
                  <c:v>6.6542572409755835E-2</c:v>
                </c:pt>
                <c:pt idx="8">
                  <c:v>9.9739850438906014E-2</c:v>
                </c:pt>
                <c:pt idx="9">
                  <c:v>0.13284813394504671</c:v>
                </c:pt>
                <c:pt idx="10">
                  <c:v>0.16583745240358658</c:v>
                </c:pt>
                <c:pt idx="14">
                  <c:v>0.16583745240358658</c:v>
                </c:pt>
                <c:pt idx="15">
                  <c:v>0.16863895578659316</c:v>
                </c:pt>
                <c:pt idx="16">
                  <c:v>0.17082597666591404</c:v>
                </c:pt>
                <c:pt idx="17">
                  <c:v>0.17239243750010019</c:v>
                </c:pt>
                <c:pt idx="18">
                  <c:v>0.17333402876925988</c:v>
                </c:pt>
                <c:pt idx="19">
                  <c:v>0.17364817766693036</c:v>
                </c:pt>
                <c:pt idx="20">
                  <c:v>0.17333402876925988</c:v>
                </c:pt>
                <c:pt idx="21">
                  <c:v>0.17239243750010019</c:v>
                </c:pt>
                <c:pt idx="22">
                  <c:v>0.17082597666591404</c:v>
                </c:pt>
                <c:pt idx="23">
                  <c:v>0.16863895578659316</c:v>
                </c:pt>
                <c:pt idx="24">
                  <c:v>0.16583745240358658</c:v>
                </c:pt>
                <c:pt idx="28">
                  <c:v>0.16583745240358658</c:v>
                </c:pt>
                <c:pt idx="29">
                  <c:v>0.13284813394504671</c:v>
                </c:pt>
                <c:pt idx="30">
                  <c:v>9.9739850438906014E-2</c:v>
                </c:pt>
                <c:pt idx="31">
                  <c:v>6.6542572409755835E-2</c:v>
                </c:pt>
                <c:pt idx="32">
                  <c:v>3.3286074594705777E-2</c:v>
                </c:pt>
                <c:pt idx="33">
                  <c:v>0</c:v>
                </c:pt>
                <c:pt idx="34">
                  <c:v>-3.3286074594705777E-2</c:v>
                </c:pt>
                <c:pt idx="35">
                  <c:v>-6.6542572409755835E-2</c:v>
                </c:pt>
                <c:pt idx="36">
                  <c:v>-9.9739850438906014E-2</c:v>
                </c:pt>
                <c:pt idx="37">
                  <c:v>-0.13284813394504671</c:v>
                </c:pt>
                <c:pt idx="38">
                  <c:v>-0.16583745240358658</c:v>
                </c:pt>
                <c:pt idx="42">
                  <c:v>-0.16583745240358658</c:v>
                </c:pt>
                <c:pt idx="43">
                  <c:v>-0.16863895578659316</c:v>
                </c:pt>
                <c:pt idx="44">
                  <c:v>-0.17082597666591404</c:v>
                </c:pt>
                <c:pt idx="45">
                  <c:v>-0.17239243750010019</c:v>
                </c:pt>
                <c:pt idx="46">
                  <c:v>-0.17333402876925988</c:v>
                </c:pt>
                <c:pt idx="47">
                  <c:v>-0.17364817766693036</c:v>
                </c:pt>
                <c:pt idx="48">
                  <c:v>-0.17333402876925988</c:v>
                </c:pt>
                <c:pt idx="49">
                  <c:v>-0.17239243750010019</c:v>
                </c:pt>
                <c:pt idx="50">
                  <c:v>-0.17082597666591404</c:v>
                </c:pt>
                <c:pt idx="51">
                  <c:v>-0.16863895578659316</c:v>
                </c:pt>
                <c:pt idx="52">
                  <c:v>-0.16583745240358658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013-4C18-80B1-34E9F002BB95}"/>
            </c:ext>
          </c:extLst>
        </c:ser>
        <c:ser>
          <c:idx val="3"/>
          <c:order val="3"/>
          <c:tx>
            <c:v>diffracted by DOE1_w1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'k1'!$P$5:$P$57</c:f>
              <c:numCache>
                <c:formatCode>General</c:formatCode>
                <c:ptCount val="53"/>
                <c:pt idx="0">
                  <c:v>-1.4340419567869722</c:v>
                </c:pt>
                <c:pt idx="1">
                  <c:v>-1.4355404650819499</c:v>
                </c:pt>
                <c:pt idx="2">
                  <c:v>-1.4367063447002486</c:v>
                </c:pt>
                <c:pt idx="3">
                  <c:v>-1.4375393111963573</c:v>
                </c:pt>
                <c:pt idx="4">
                  <c:v>-1.4380391679220117</c:v>
                </c:pt>
                <c:pt idx="5">
                  <c:v>-1.438205799504273</c:v>
                </c:pt>
                <c:pt idx="6">
                  <c:v>-1.4380391679220117</c:v>
                </c:pt>
                <c:pt idx="7">
                  <c:v>-1.4375393111963573</c:v>
                </c:pt>
                <c:pt idx="8">
                  <c:v>-1.4367063447002486</c:v>
                </c:pt>
                <c:pt idx="9">
                  <c:v>-1.4355404650819499</c:v>
                </c:pt>
                <c:pt idx="10">
                  <c:v>-1.4340419567869722</c:v>
                </c:pt>
                <c:pt idx="14">
                  <c:v>-1.4340419567869722</c:v>
                </c:pt>
                <c:pt idx="15">
                  <c:v>-1.375957063569581</c:v>
                </c:pt>
                <c:pt idx="16">
                  <c:v>-1.3170568848144923</c:v>
                </c:pt>
                <c:pt idx="17">
                  <c:v>-1.2575447580760681</c:v>
                </c:pt>
                <c:pt idx="18">
                  <c:v>-1.1976244535474452</c:v>
                </c:pt>
                <c:pt idx="19">
                  <c:v>-1.1375</c:v>
                </c:pt>
                <c:pt idx="20">
                  <c:v>-1.0773755464525547</c:v>
                </c:pt>
                <c:pt idx="21">
                  <c:v>-1.0174552419239318</c:v>
                </c:pt>
                <c:pt idx="22">
                  <c:v>-0.95794311518550745</c:v>
                </c:pt>
                <c:pt idx="23">
                  <c:v>-0.89904293643041888</c:v>
                </c:pt>
                <c:pt idx="24">
                  <c:v>-0.8409580432130277</c:v>
                </c:pt>
                <c:pt idx="28">
                  <c:v>-0.8409580432130277</c:v>
                </c:pt>
                <c:pt idx="29">
                  <c:v>-0.83945953491805003</c:v>
                </c:pt>
                <c:pt idx="30">
                  <c:v>-0.83829365529975131</c:v>
                </c:pt>
                <c:pt idx="31">
                  <c:v>-0.83746068880364266</c:v>
                </c:pt>
                <c:pt idx="32">
                  <c:v>-0.83696083207798821</c:v>
                </c:pt>
                <c:pt idx="33">
                  <c:v>-0.83679420049572684</c:v>
                </c:pt>
                <c:pt idx="34">
                  <c:v>-0.83696083207798821</c:v>
                </c:pt>
                <c:pt idx="35">
                  <c:v>-0.83746068880364266</c:v>
                </c:pt>
                <c:pt idx="36">
                  <c:v>-0.83829365529975131</c:v>
                </c:pt>
                <c:pt idx="37">
                  <c:v>-0.83945953491805003</c:v>
                </c:pt>
                <c:pt idx="38">
                  <c:v>-0.8409580432130277</c:v>
                </c:pt>
                <c:pt idx="42">
                  <c:v>-0.8409580432130277</c:v>
                </c:pt>
                <c:pt idx="43">
                  <c:v>-0.89904293643041888</c:v>
                </c:pt>
                <c:pt idx="44">
                  <c:v>-0.95794311518550745</c:v>
                </c:pt>
                <c:pt idx="45">
                  <c:v>-1.0174552419239318</c:v>
                </c:pt>
                <c:pt idx="46">
                  <c:v>-1.0773755464525547</c:v>
                </c:pt>
                <c:pt idx="47">
                  <c:v>-1.1375</c:v>
                </c:pt>
                <c:pt idx="48">
                  <c:v>-1.1976244535474452</c:v>
                </c:pt>
                <c:pt idx="49">
                  <c:v>-1.2575447580760681</c:v>
                </c:pt>
                <c:pt idx="50">
                  <c:v>-1.3170568848144923</c:v>
                </c:pt>
                <c:pt idx="51">
                  <c:v>-1.375957063569581</c:v>
                </c:pt>
                <c:pt idx="52">
                  <c:v>-1.4340419567869722</c:v>
                </c:pt>
              </c:numCache>
              <c:extLst xmlns:c15="http://schemas.microsoft.com/office/drawing/2012/chart"/>
            </c:numRef>
          </c:xVal>
          <c:yVal>
            <c:numRef>
              <c:f>'k1'!$Q$5:$Q$57</c:f>
              <c:numCache>
                <c:formatCode>General</c:formatCode>
                <c:ptCount val="53"/>
                <c:pt idx="0">
                  <c:v>-0.16583745240358672</c:v>
                </c:pt>
                <c:pt idx="1">
                  <c:v>-0.13284813394504685</c:v>
                </c:pt>
                <c:pt idx="2">
                  <c:v>-9.9739850438906152E-2</c:v>
                </c:pt>
                <c:pt idx="3">
                  <c:v>-6.6542572409755973E-2</c:v>
                </c:pt>
                <c:pt idx="4">
                  <c:v>-3.3286074594705915E-2</c:v>
                </c:pt>
                <c:pt idx="5">
                  <c:v>-1.3936063674585553E-16</c:v>
                </c:pt>
                <c:pt idx="6">
                  <c:v>3.3286074594705638E-2</c:v>
                </c:pt>
                <c:pt idx="7">
                  <c:v>6.6542572409755696E-2</c:v>
                </c:pt>
                <c:pt idx="8">
                  <c:v>9.9739850438905875E-2</c:v>
                </c:pt>
                <c:pt idx="9">
                  <c:v>0.13284813394504658</c:v>
                </c:pt>
                <c:pt idx="10">
                  <c:v>0.16583745240358644</c:v>
                </c:pt>
                <c:pt idx="14">
                  <c:v>0.16583745240358644</c:v>
                </c:pt>
                <c:pt idx="15">
                  <c:v>0.16863895578659302</c:v>
                </c:pt>
                <c:pt idx="16">
                  <c:v>0.1708259766659139</c:v>
                </c:pt>
                <c:pt idx="17">
                  <c:v>0.17239243750010005</c:v>
                </c:pt>
                <c:pt idx="18">
                  <c:v>0.17333402876925974</c:v>
                </c:pt>
                <c:pt idx="19">
                  <c:v>0.17364817766693022</c:v>
                </c:pt>
                <c:pt idx="20">
                  <c:v>0.17333402876925974</c:v>
                </c:pt>
                <c:pt idx="21">
                  <c:v>0.17239243750010005</c:v>
                </c:pt>
                <c:pt idx="22">
                  <c:v>0.1708259766659139</c:v>
                </c:pt>
                <c:pt idx="23">
                  <c:v>0.16863895578659302</c:v>
                </c:pt>
                <c:pt idx="24">
                  <c:v>0.16583745240358644</c:v>
                </c:pt>
                <c:pt idx="28">
                  <c:v>0.16583745240358644</c:v>
                </c:pt>
                <c:pt idx="29">
                  <c:v>0.13284813394504658</c:v>
                </c:pt>
                <c:pt idx="30">
                  <c:v>9.9739850438905875E-2</c:v>
                </c:pt>
                <c:pt idx="31">
                  <c:v>6.6542572409755696E-2</c:v>
                </c:pt>
                <c:pt idx="32">
                  <c:v>3.3286074594705638E-2</c:v>
                </c:pt>
                <c:pt idx="33">
                  <c:v>-1.3936063674585553E-16</c:v>
                </c:pt>
                <c:pt idx="34">
                  <c:v>-3.3286074594705915E-2</c:v>
                </c:pt>
                <c:pt idx="35">
                  <c:v>-6.6542572409755973E-2</c:v>
                </c:pt>
                <c:pt idx="36">
                  <c:v>-9.9739850438906152E-2</c:v>
                </c:pt>
                <c:pt idx="37">
                  <c:v>-0.13284813394504685</c:v>
                </c:pt>
                <c:pt idx="38">
                  <c:v>-0.16583745240358672</c:v>
                </c:pt>
                <c:pt idx="42">
                  <c:v>-0.16583745240358672</c:v>
                </c:pt>
                <c:pt idx="43">
                  <c:v>-0.1686389557865933</c:v>
                </c:pt>
                <c:pt idx="44">
                  <c:v>-0.17082597666591418</c:v>
                </c:pt>
                <c:pt idx="45">
                  <c:v>-0.17239243750010033</c:v>
                </c:pt>
                <c:pt idx="46">
                  <c:v>-0.17333402876926002</c:v>
                </c:pt>
                <c:pt idx="47">
                  <c:v>-0.1736481776669305</c:v>
                </c:pt>
                <c:pt idx="48">
                  <c:v>-0.17333402876926002</c:v>
                </c:pt>
                <c:pt idx="49">
                  <c:v>-0.17239243750010033</c:v>
                </c:pt>
                <c:pt idx="50">
                  <c:v>-0.17082597666591418</c:v>
                </c:pt>
                <c:pt idx="51">
                  <c:v>-0.1686389557865933</c:v>
                </c:pt>
                <c:pt idx="52">
                  <c:v>-0.16583745240358672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7-3013-4C18-80B1-34E9F002BB95}"/>
            </c:ext>
          </c:extLst>
        </c:ser>
        <c:ser>
          <c:idx val="4"/>
          <c:order val="4"/>
          <c:tx>
            <c:v>diffracted by DOE2_w1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'k1'!$W$5:$W$57</c:f>
              <c:numCache>
                <c:formatCode>General</c:formatCode>
                <c:ptCount val="53"/>
                <c:pt idx="0">
                  <c:v>-0.29654195678697248</c:v>
                </c:pt>
                <c:pt idx="1">
                  <c:v>-0.29804046508195015</c:v>
                </c:pt>
                <c:pt idx="2">
                  <c:v>-0.29920634470024887</c:v>
                </c:pt>
                <c:pt idx="3">
                  <c:v>-0.30003931119635752</c:v>
                </c:pt>
                <c:pt idx="4">
                  <c:v>-0.30053916792201196</c:v>
                </c:pt>
                <c:pt idx="5">
                  <c:v>-0.30070579950427323</c:v>
                </c:pt>
                <c:pt idx="6">
                  <c:v>-0.30053916792201196</c:v>
                </c:pt>
                <c:pt idx="7">
                  <c:v>-0.30003931119635752</c:v>
                </c:pt>
                <c:pt idx="8">
                  <c:v>-0.29920634470024887</c:v>
                </c:pt>
                <c:pt idx="9">
                  <c:v>-0.29804046508195015</c:v>
                </c:pt>
                <c:pt idx="10">
                  <c:v>-0.29654195678697248</c:v>
                </c:pt>
                <c:pt idx="14">
                  <c:v>-0.29654195678697248</c:v>
                </c:pt>
                <c:pt idx="15">
                  <c:v>-0.2384570635695813</c:v>
                </c:pt>
                <c:pt idx="16">
                  <c:v>-0.17955688481449261</c:v>
                </c:pt>
                <c:pt idx="17">
                  <c:v>-0.1200447580760684</c:v>
                </c:pt>
                <c:pt idx="18">
                  <c:v>-6.0124453547445444E-2</c:v>
                </c:pt>
                <c:pt idx="19">
                  <c:v>0</c:v>
                </c:pt>
                <c:pt idx="20">
                  <c:v>6.0124453547445E-2</c:v>
                </c:pt>
                <c:pt idx="21">
                  <c:v>0.12004475807606796</c:v>
                </c:pt>
                <c:pt idx="22">
                  <c:v>0.17955688481449228</c:v>
                </c:pt>
                <c:pt idx="23">
                  <c:v>0.23845706356958085</c:v>
                </c:pt>
                <c:pt idx="24">
                  <c:v>0.29654195678697204</c:v>
                </c:pt>
                <c:pt idx="28">
                  <c:v>0.29654195678697204</c:v>
                </c:pt>
                <c:pt idx="29">
                  <c:v>0.2980404650819497</c:v>
                </c:pt>
                <c:pt idx="30">
                  <c:v>0.29920634470024843</c:v>
                </c:pt>
                <c:pt idx="31">
                  <c:v>0.30003931119635707</c:v>
                </c:pt>
                <c:pt idx="32">
                  <c:v>0.30053916792201152</c:v>
                </c:pt>
                <c:pt idx="33">
                  <c:v>0.3007057995042729</c:v>
                </c:pt>
                <c:pt idx="34">
                  <c:v>0.30053916792201152</c:v>
                </c:pt>
                <c:pt idx="35">
                  <c:v>0.30003931119635707</c:v>
                </c:pt>
                <c:pt idx="36">
                  <c:v>0.29920634470024843</c:v>
                </c:pt>
                <c:pt idx="37">
                  <c:v>0.2980404650819497</c:v>
                </c:pt>
                <c:pt idx="38">
                  <c:v>0.29654195678697204</c:v>
                </c:pt>
                <c:pt idx="42">
                  <c:v>0.29654195678697204</c:v>
                </c:pt>
                <c:pt idx="43">
                  <c:v>0.23845706356958085</c:v>
                </c:pt>
                <c:pt idx="44">
                  <c:v>0.17955688481449228</c:v>
                </c:pt>
                <c:pt idx="45">
                  <c:v>0.12004475807606796</c:v>
                </c:pt>
                <c:pt idx="46">
                  <c:v>6.0124453547445E-2</c:v>
                </c:pt>
                <c:pt idx="47">
                  <c:v>0</c:v>
                </c:pt>
                <c:pt idx="48">
                  <c:v>-6.0124453547445444E-2</c:v>
                </c:pt>
                <c:pt idx="49">
                  <c:v>-0.1200447580760684</c:v>
                </c:pt>
                <c:pt idx="50">
                  <c:v>-0.17955688481449261</c:v>
                </c:pt>
                <c:pt idx="51">
                  <c:v>-0.2384570635695813</c:v>
                </c:pt>
                <c:pt idx="52">
                  <c:v>-0.29654195678697248</c:v>
                </c:pt>
              </c:numCache>
              <c:extLst xmlns:c15="http://schemas.microsoft.com/office/drawing/2012/chart"/>
            </c:numRef>
          </c:xVal>
          <c:yVal>
            <c:numRef>
              <c:f>'k1'!$X$5:$X$57</c:f>
              <c:numCache>
                <c:formatCode>General</c:formatCode>
                <c:ptCount val="53"/>
                <c:pt idx="0">
                  <c:v>0.97166254759641368</c:v>
                </c:pt>
                <c:pt idx="1">
                  <c:v>1.0046518660549535</c:v>
                </c:pt>
                <c:pt idx="2">
                  <c:v>1.0377601495610942</c:v>
                </c:pt>
                <c:pt idx="3">
                  <c:v>1.0709574275902445</c:v>
                </c:pt>
                <c:pt idx="4">
                  <c:v>1.1042139254052945</c:v>
                </c:pt>
                <c:pt idx="5">
                  <c:v>1.1375000000000002</c:v>
                </c:pt>
                <c:pt idx="6">
                  <c:v>1.1707860745947061</c:v>
                </c:pt>
                <c:pt idx="7">
                  <c:v>1.2040425724097561</c:v>
                </c:pt>
                <c:pt idx="8">
                  <c:v>1.2372398504389062</c:v>
                </c:pt>
                <c:pt idx="9">
                  <c:v>1.2703481339450469</c:v>
                </c:pt>
                <c:pt idx="10">
                  <c:v>1.3033374524035868</c:v>
                </c:pt>
                <c:pt idx="14">
                  <c:v>1.3033374524035868</c:v>
                </c:pt>
                <c:pt idx="15">
                  <c:v>1.3061389557865934</c:v>
                </c:pt>
                <c:pt idx="16">
                  <c:v>1.3083259766659143</c:v>
                </c:pt>
                <c:pt idx="17">
                  <c:v>1.3098924375001004</c:v>
                </c:pt>
                <c:pt idx="18">
                  <c:v>1.3108340287692601</c:v>
                </c:pt>
                <c:pt idx="19">
                  <c:v>1.3111481776669307</c:v>
                </c:pt>
                <c:pt idx="20">
                  <c:v>1.3108340287692601</c:v>
                </c:pt>
                <c:pt idx="21">
                  <c:v>1.3098924375001004</c:v>
                </c:pt>
                <c:pt idx="22">
                  <c:v>1.3083259766659143</c:v>
                </c:pt>
                <c:pt idx="23">
                  <c:v>1.3061389557865934</c:v>
                </c:pt>
                <c:pt idx="24">
                  <c:v>1.3033374524035868</c:v>
                </c:pt>
                <c:pt idx="28">
                  <c:v>1.3033374524035868</c:v>
                </c:pt>
                <c:pt idx="29">
                  <c:v>1.2703481339450469</c:v>
                </c:pt>
                <c:pt idx="30">
                  <c:v>1.2372398504389062</c:v>
                </c:pt>
                <c:pt idx="31">
                  <c:v>1.2040425724097561</c:v>
                </c:pt>
                <c:pt idx="32">
                  <c:v>1.1707860745947061</c:v>
                </c:pt>
                <c:pt idx="33">
                  <c:v>1.1375000000000002</c:v>
                </c:pt>
                <c:pt idx="34">
                  <c:v>1.1042139254052945</c:v>
                </c:pt>
                <c:pt idx="35">
                  <c:v>1.0709574275902445</c:v>
                </c:pt>
                <c:pt idx="36">
                  <c:v>1.0377601495610942</c:v>
                </c:pt>
                <c:pt idx="37">
                  <c:v>1.0046518660549535</c:v>
                </c:pt>
                <c:pt idx="38">
                  <c:v>0.97166254759641368</c:v>
                </c:pt>
                <c:pt idx="42">
                  <c:v>0.97166254759641368</c:v>
                </c:pt>
                <c:pt idx="43">
                  <c:v>0.96886104421340713</c:v>
                </c:pt>
                <c:pt idx="44">
                  <c:v>0.96667402333408625</c:v>
                </c:pt>
                <c:pt idx="45">
                  <c:v>0.96510756249990004</c:v>
                </c:pt>
                <c:pt idx="46">
                  <c:v>0.96416597123074044</c:v>
                </c:pt>
                <c:pt idx="47">
                  <c:v>0.96385182233306987</c:v>
                </c:pt>
                <c:pt idx="48">
                  <c:v>0.96416597123074044</c:v>
                </c:pt>
                <c:pt idx="49">
                  <c:v>0.96510756249990004</c:v>
                </c:pt>
                <c:pt idx="50">
                  <c:v>0.96667402333408625</c:v>
                </c:pt>
                <c:pt idx="51">
                  <c:v>0.96886104421340713</c:v>
                </c:pt>
                <c:pt idx="52">
                  <c:v>0.97166254759641368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8-3013-4C18-80B1-34E9F002BB95}"/>
            </c:ext>
          </c:extLst>
        </c:ser>
        <c:ser>
          <c:idx val="5"/>
          <c:order val="5"/>
          <c:tx>
            <c:v>diffracted by DOE3_w1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'k1'!$AD$5:$AD$57</c:f>
              <c:numCache>
                <c:formatCode>General</c:formatCode>
                <c:ptCount val="53"/>
                <c:pt idx="0">
                  <c:v>-0.29654195678697243</c:v>
                </c:pt>
                <c:pt idx="1">
                  <c:v>-0.29804046508195009</c:v>
                </c:pt>
                <c:pt idx="2">
                  <c:v>-0.29920634470024882</c:v>
                </c:pt>
                <c:pt idx="3">
                  <c:v>-0.30003931119635746</c:v>
                </c:pt>
                <c:pt idx="4">
                  <c:v>-0.30053916792201191</c:v>
                </c:pt>
                <c:pt idx="5">
                  <c:v>-0.30070579950427317</c:v>
                </c:pt>
                <c:pt idx="6">
                  <c:v>-0.30053916792201191</c:v>
                </c:pt>
                <c:pt idx="7">
                  <c:v>-0.30003931119635746</c:v>
                </c:pt>
                <c:pt idx="8">
                  <c:v>-0.29920634470024882</c:v>
                </c:pt>
                <c:pt idx="9">
                  <c:v>-0.29804046508195009</c:v>
                </c:pt>
                <c:pt idx="10">
                  <c:v>-0.29654195678697243</c:v>
                </c:pt>
                <c:pt idx="14">
                  <c:v>-0.29654195678697243</c:v>
                </c:pt>
                <c:pt idx="15">
                  <c:v>-0.23845706356958121</c:v>
                </c:pt>
                <c:pt idx="16">
                  <c:v>-0.17955688481449253</c:v>
                </c:pt>
                <c:pt idx="17">
                  <c:v>-0.12004475807606833</c:v>
                </c:pt>
                <c:pt idx="18">
                  <c:v>-6.0124453547445375E-2</c:v>
                </c:pt>
                <c:pt idx="19">
                  <c:v>6.9680318372927763E-17</c:v>
                </c:pt>
                <c:pt idx="20">
                  <c:v>6.012445354744507E-2</c:v>
                </c:pt>
                <c:pt idx="21">
                  <c:v>0.12004475807606803</c:v>
                </c:pt>
                <c:pt idx="22">
                  <c:v>0.17955688481449236</c:v>
                </c:pt>
                <c:pt idx="23">
                  <c:v>0.23845706356958093</c:v>
                </c:pt>
                <c:pt idx="24">
                  <c:v>0.29654195678697209</c:v>
                </c:pt>
                <c:pt idx="28">
                  <c:v>0.29654195678697209</c:v>
                </c:pt>
                <c:pt idx="29">
                  <c:v>0.29804046508194976</c:v>
                </c:pt>
                <c:pt idx="30">
                  <c:v>0.29920634470024848</c:v>
                </c:pt>
                <c:pt idx="31">
                  <c:v>0.30003931119635713</c:v>
                </c:pt>
                <c:pt idx="32">
                  <c:v>0.30053916792201157</c:v>
                </c:pt>
                <c:pt idx="33">
                  <c:v>0.30070579950427295</c:v>
                </c:pt>
                <c:pt idx="34">
                  <c:v>0.30053916792201157</c:v>
                </c:pt>
                <c:pt idx="35">
                  <c:v>0.30003931119635713</c:v>
                </c:pt>
                <c:pt idx="36">
                  <c:v>0.29920634470024848</c:v>
                </c:pt>
                <c:pt idx="37">
                  <c:v>0.29804046508194976</c:v>
                </c:pt>
                <c:pt idx="38">
                  <c:v>0.29654195678697209</c:v>
                </c:pt>
                <c:pt idx="42">
                  <c:v>0.29654195678697209</c:v>
                </c:pt>
                <c:pt idx="43">
                  <c:v>0.23845706356958093</c:v>
                </c:pt>
                <c:pt idx="44">
                  <c:v>0.17955688481449236</c:v>
                </c:pt>
                <c:pt idx="45">
                  <c:v>0.12004475807606803</c:v>
                </c:pt>
                <c:pt idx="46">
                  <c:v>6.012445354744507E-2</c:v>
                </c:pt>
                <c:pt idx="47">
                  <c:v>6.9680318372927763E-17</c:v>
                </c:pt>
                <c:pt idx="48">
                  <c:v>-6.0124453547445375E-2</c:v>
                </c:pt>
                <c:pt idx="49">
                  <c:v>-0.12004475807606833</c:v>
                </c:pt>
                <c:pt idx="50">
                  <c:v>-0.17955688481449253</c:v>
                </c:pt>
                <c:pt idx="51">
                  <c:v>-0.23845706356958121</c:v>
                </c:pt>
                <c:pt idx="52">
                  <c:v>-0.29654195678697243</c:v>
                </c:pt>
              </c:numCache>
              <c:extLst xmlns:c15="http://schemas.microsoft.com/office/drawing/2012/chart"/>
            </c:numRef>
          </c:xVal>
          <c:yVal>
            <c:numRef>
              <c:f>'k1'!$AE$5:$AE$57</c:f>
              <c:numCache>
                <c:formatCode>General</c:formatCode>
                <c:ptCount val="53"/>
                <c:pt idx="0">
                  <c:v>-0.16583745240358627</c:v>
                </c:pt>
                <c:pt idx="1">
                  <c:v>-0.13284813394504646</c:v>
                </c:pt>
                <c:pt idx="2">
                  <c:v>-9.9739850438905764E-2</c:v>
                </c:pt>
                <c:pt idx="3">
                  <c:v>-6.6542572409755474E-2</c:v>
                </c:pt>
                <c:pt idx="4">
                  <c:v>-3.328607459470545E-2</c:v>
                </c:pt>
                <c:pt idx="5">
                  <c:v>0</c:v>
                </c:pt>
                <c:pt idx="6">
                  <c:v>3.3286074594706117E-2</c:v>
                </c:pt>
                <c:pt idx="7">
                  <c:v>6.654257240975614E-2</c:v>
                </c:pt>
                <c:pt idx="8">
                  <c:v>9.9739850438906208E-2</c:v>
                </c:pt>
                <c:pt idx="9">
                  <c:v>0.13284813394504691</c:v>
                </c:pt>
                <c:pt idx="10">
                  <c:v>0.16583745240358683</c:v>
                </c:pt>
                <c:pt idx="14">
                  <c:v>0.16583745240358683</c:v>
                </c:pt>
                <c:pt idx="15">
                  <c:v>0.16863895578659349</c:v>
                </c:pt>
                <c:pt idx="16">
                  <c:v>0.17082597666591437</c:v>
                </c:pt>
                <c:pt idx="17">
                  <c:v>0.17239243750010047</c:v>
                </c:pt>
                <c:pt idx="18">
                  <c:v>0.17333402876926018</c:v>
                </c:pt>
                <c:pt idx="19">
                  <c:v>0.17364817766693075</c:v>
                </c:pt>
                <c:pt idx="20">
                  <c:v>0.17333402876926018</c:v>
                </c:pt>
                <c:pt idx="21">
                  <c:v>0.17239243750010047</c:v>
                </c:pt>
                <c:pt idx="22">
                  <c:v>0.17082597666591437</c:v>
                </c:pt>
                <c:pt idx="23">
                  <c:v>0.16863895578659349</c:v>
                </c:pt>
                <c:pt idx="24">
                  <c:v>0.16583745240358683</c:v>
                </c:pt>
                <c:pt idx="28">
                  <c:v>0.16583745240358683</c:v>
                </c:pt>
                <c:pt idx="29">
                  <c:v>0.13284813394504691</c:v>
                </c:pt>
                <c:pt idx="30">
                  <c:v>9.9739850438906208E-2</c:v>
                </c:pt>
                <c:pt idx="31">
                  <c:v>6.654257240975614E-2</c:v>
                </c:pt>
                <c:pt idx="32">
                  <c:v>3.3286074594706117E-2</c:v>
                </c:pt>
                <c:pt idx="33">
                  <c:v>0</c:v>
                </c:pt>
                <c:pt idx="34">
                  <c:v>-3.328607459470545E-2</c:v>
                </c:pt>
                <c:pt idx="35">
                  <c:v>-6.6542572409755474E-2</c:v>
                </c:pt>
                <c:pt idx="36">
                  <c:v>-9.9739850438905764E-2</c:v>
                </c:pt>
                <c:pt idx="37">
                  <c:v>-0.13284813394504646</c:v>
                </c:pt>
                <c:pt idx="38">
                  <c:v>-0.16583745240358627</c:v>
                </c:pt>
                <c:pt idx="42">
                  <c:v>-0.16583745240358627</c:v>
                </c:pt>
                <c:pt idx="43">
                  <c:v>-0.16863895578659283</c:v>
                </c:pt>
                <c:pt idx="44">
                  <c:v>-0.1708259766659137</c:v>
                </c:pt>
                <c:pt idx="45">
                  <c:v>-0.17239243750009992</c:v>
                </c:pt>
                <c:pt idx="46">
                  <c:v>-0.17333402876925952</c:v>
                </c:pt>
                <c:pt idx="47">
                  <c:v>-0.17364817766693008</c:v>
                </c:pt>
                <c:pt idx="48">
                  <c:v>-0.17333402876925952</c:v>
                </c:pt>
                <c:pt idx="49">
                  <c:v>-0.17239243750009992</c:v>
                </c:pt>
                <c:pt idx="50">
                  <c:v>-0.1708259766659137</c:v>
                </c:pt>
                <c:pt idx="51">
                  <c:v>-0.16863895578659283</c:v>
                </c:pt>
                <c:pt idx="52">
                  <c:v>-0.16583745240358627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9744-49AB-A39D-6613B7035879}"/>
            </c:ext>
          </c:extLst>
        </c:ser>
        <c:ser>
          <c:idx val="6"/>
          <c:order val="6"/>
          <c:tx>
            <c:v>diffracted by DOE1_w2</c:v>
          </c:tx>
          <c:spPr>
            <a:ln w="19050" cap="rnd">
              <a:solidFill>
                <a:srgbClr val="00FF00"/>
              </a:solidFill>
              <a:round/>
            </a:ln>
            <a:effectLst/>
          </c:spPr>
          <c:marker>
            <c:symbol val="none"/>
          </c:marker>
          <c:xVal>
            <c:numRef>
              <c:f>'k2'!$P$5:$P$57</c:f>
              <c:numCache>
                <c:formatCode>General</c:formatCode>
                <c:ptCount val="53"/>
                <c:pt idx="0">
                  <c:v>-1.6090419567869723</c:v>
                </c:pt>
                <c:pt idx="1">
                  <c:v>-1.6105404650819499</c:v>
                </c:pt>
                <c:pt idx="2">
                  <c:v>-1.6117063447002486</c:v>
                </c:pt>
                <c:pt idx="3">
                  <c:v>-1.6125393111963573</c:v>
                </c:pt>
                <c:pt idx="4">
                  <c:v>-1.6130391679220117</c:v>
                </c:pt>
                <c:pt idx="5">
                  <c:v>-1.6132057995042732</c:v>
                </c:pt>
                <c:pt idx="6">
                  <c:v>-1.6130391679220117</c:v>
                </c:pt>
                <c:pt idx="7">
                  <c:v>-1.6125393111963573</c:v>
                </c:pt>
                <c:pt idx="8">
                  <c:v>-1.6117063447002486</c:v>
                </c:pt>
                <c:pt idx="9">
                  <c:v>-1.6105404650819499</c:v>
                </c:pt>
                <c:pt idx="10">
                  <c:v>-1.6090419567869723</c:v>
                </c:pt>
                <c:pt idx="14">
                  <c:v>-1.6090419567869723</c:v>
                </c:pt>
                <c:pt idx="15">
                  <c:v>-1.5509570635695811</c:v>
                </c:pt>
                <c:pt idx="16">
                  <c:v>-1.4920568848144926</c:v>
                </c:pt>
                <c:pt idx="17">
                  <c:v>-1.4325447580760682</c:v>
                </c:pt>
                <c:pt idx="18">
                  <c:v>-1.3726244535474452</c:v>
                </c:pt>
                <c:pt idx="19">
                  <c:v>-1.3125</c:v>
                </c:pt>
                <c:pt idx="20">
                  <c:v>-1.2523755464525548</c:v>
                </c:pt>
                <c:pt idx="21">
                  <c:v>-1.1924552419239318</c:v>
                </c:pt>
                <c:pt idx="22">
                  <c:v>-1.1329431151855074</c:v>
                </c:pt>
                <c:pt idx="23">
                  <c:v>-1.0740429364304189</c:v>
                </c:pt>
                <c:pt idx="24">
                  <c:v>-1.0159580432130277</c:v>
                </c:pt>
                <c:pt idx="28">
                  <c:v>-1.0159580432130277</c:v>
                </c:pt>
                <c:pt idx="29">
                  <c:v>-1.0144595349180501</c:v>
                </c:pt>
                <c:pt idx="30">
                  <c:v>-1.0132936552997514</c:v>
                </c:pt>
                <c:pt idx="31">
                  <c:v>-1.0124606888036427</c:v>
                </c:pt>
                <c:pt idx="32">
                  <c:v>-1.0119608320779883</c:v>
                </c:pt>
                <c:pt idx="33">
                  <c:v>-1.0117942004957268</c:v>
                </c:pt>
                <c:pt idx="34">
                  <c:v>-1.0119608320779883</c:v>
                </c:pt>
                <c:pt idx="35">
                  <c:v>-1.0124606888036427</c:v>
                </c:pt>
                <c:pt idx="36">
                  <c:v>-1.0132936552997514</c:v>
                </c:pt>
                <c:pt idx="37">
                  <c:v>-1.0144595349180501</c:v>
                </c:pt>
                <c:pt idx="38">
                  <c:v>-1.0159580432130277</c:v>
                </c:pt>
                <c:pt idx="42">
                  <c:v>-1.0159580432130277</c:v>
                </c:pt>
                <c:pt idx="43">
                  <c:v>-1.0740429364304189</c:v>
                </c:pt>
                <c:pt idx="44">
                  <c:v>-1.1329431151855074</c:v>
                </c:pt>
                <c:pt idx="45">
                  <c:v>-1.1924552419239318</c:v>
                </c:pt>
                <c:pt idx="46">
                  <c:v>-1.2523755464525548</c:v>
                </c:pt>
                <c:pt idx="47">
                  <c:v>-1.3125</c:v>
                </c:pt>
                <c:pt idx="48">
                  <c:v>-1.3726244535474452</c:v>
                </c:pt>
                <c:pt idx="49">
                  <c:v>-1.4325447580760682</c:v>
                </c:pt>
                <c:pt idx="50">
                  <c:v>-1.4920568848144926</c:v>
                </c:pt>
                <c:pt idx="51">
                  <c:v>-1.5509570635695811</c:v>
                </c:pt>
                <c:pt idx="52">
                  <c:v>-1.6090419567869723</c:v>
                </c:pt>
              </c:numCache>
              <c:extLst xmlns:c15="http://schemas.microsoft.com/office/drawing/2012/chart"/>
            </c:numRef>
          </c:xVal>
          <c:yVal>
            <c:numRef>
              <c:f>'k2'!$Q$5:$Q$57</c:f>
              <c:numCache>
                <c:formatCode>General</c:formatCode>
                <c:ptCount val="53"/>
                <c:pt idx="0">
                  <c:v>-0.16583745240358674</c:v>
                </c:pt>
                <c:pt idx="1">
                  <c:v>-0.13284813394504688</c:v>
                </c:pt>
                <c:pt idx="2">
                  <c:v>-9.973985043890618E-2</c:v>
                </c:pt>
                <c:pt idx="3">
                  <c:v>-6.6542572409756001E-2</c:v>
                </c:pt>
                <c:pt idx="4">
                  <c:v>-3.3286074594705936E-2</c:v>
                </c:pt>
                <c:pt idx="5">
                  <c:v>-1.6080073470675638E-16</c:v>
                </c:pt>
                <c:pt idx="6">
                  <c:v>3.3286074594705617E-2</c:v>
                </c:pt>
                <c:pt idx="7">
                  <c:v>6.6542572409755668E-2</c:v>
                </c:pt>
                <c:pt idx="8">
                  <c:v>9.9739850438905847E-2</c:v>
                </c:pt>
                <c:pt idx="9">
                  <c:v>0.13284813394504655</c:v>
                </c:pt>
                <c:pt idx="10">
                  <c:v>0.16583745240358641</c:v>
                </c:pt>
                <c:pt idx="14">
                  <c:v>0.16583745240358641</c:v>
                </c:pt>
                <c:pt idx="15">
                  <c:v>0.16863895578659299</c:v>
                </c:pt>
                <c:pt idx="16">
                  <c:v>0.17082597666591387</c:v>
                </c:pt>
                <c:pt idx="17">
                  <c:v>0.17239243750010003</c:v>
                </c:pt>
                <c:pt idx="18">
                  <c:v>0.17333402876925971</c:v>
                </c:pt>
                <c:pt idx="19">
                  <c:v>0.17364817766693019</c:v>
                </c:pt>
                <c:pt idx="20">
                  <c:v>0.17333402876925971</c:v>
                </c:pt>
                <c:pt idx="21">
                  <c:v>0.17239243750010003</c:v>
                </c:pt>
                <c:pt idx="22">
                  <c:v>0.17082597666591387</c:v>
                </c:pt>
                <c:pt idx="23">
                  <c:v>0.16863895578659299</c:v>
                </c:pt>
                <c:pt idx="24">
                  <c:v>0.16583745240358641</c:v>
                </c:pt>
                <c:pt idx="28">
                  <c:v>0.16583745240358641</c:v>
                </c:pt>
                <c:pt idx="29">
                  <c:v>0.13284813394504655</c:v>
                </c:pt>
                <c:pt idx="30">
                  <c:v>9.9739850438905847E-2</c:v>
                </c:pt>
                <c:pt idx="31">
                  <c:v>6.6542572409755668E-2</c:v>
                </c:pt>
                <c:pt idx="32">
                  <c:v>3.3286074594705617E-2</c:v>
                </c:pt>
                <c:pt idx="33">
                  <c:v>-1.6080073470675638E-16</c:v>
                </c:pt>
                <c:pt idx="34">
                  <c:v>-3.3286074594705936E-2</c:v>
                </c:pt>
                <c:pt idx="35">
                  <c:v>-6.6542572409756001E-2</c:v>
                </c:pt>
                <c:pt idx="36">
                  <c:v>-9.973985043890618E-2</c:v>
                </c:pt>
                <c:pt idx="37">
                  <c:v>-0.13284813394504688</c:v>
                </c:pt>
                <c:pt idx="38">
                  <c:v>-0.16583745240358674</c:v>
                </c:pt>
                <c:pt idx="42">
                  <c:v>-0.16583745240358674</c:v>
                </c:pt>
                <c:pt idx="43">
                  <c:v>-0.16863895578659333</c:v>
                </c:pt>
                <c:pt idx="44">
                  <c:v>-0.1708259766659142</c:v>
                </c:pt>
                <c:pt idx="45">
                  <c:v>-0.17239243750010036</c:v>
                </c:pt>
                <c:pt idx="46">
                  <c:v>-0.17333402876926005</c:v>
                </c:pt>
                <c:pt idx="47">
                  <c:v>-0.17364817766693053</c:v>
                </c:pt>
                <c:pt idx="48">
                  <c:v>-0.17333402876926005</c:v>
                </c:pt>
                <c:pt idx="49">
                  <c:v>-0.17239243750010036</c:v>
                </c:pt>
                <c:pt idx="50">
                  <c:v>-0.1708259766659142</c:v>
                </c:pt>
                <c:pt idx="51">
                  <c:v>-0.16863895578659333</c:v>
                </c:pt>
                <c:pt idx="52">
                  <c:v>-0.16583745240358674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733F-40FF-9867-269CD2DD5A16}"/>
            </c:ext>
          </c:extLst>
        </c:ser>
        <c:ser>
          <c:idx val="7"/>
          <c:order val="7"/>
          <c:tx>
            <c:v>diffracted by DOE2_w2</c:v>
          </c:tx>
          <c:spPr>
            <a:ln w="19050" cap="rnd">
              <a:solidFill>
                <a:srgbClr val="00FF00"/>
              </a:solidFill>
              <a:round/>
            </a:ln>
            <a:effectLst/>
          </c:spPr>
          <c:marker>
            <c:symbol val="none"/>
          </c:marker>
          <c:xVal>
            <c:numRef>
              <c:f>'k2'!$W$5:$W$57</c:f>
              <c:numCache>
                <c:formatCode>General</c:formatCode>
                <c:ptCount val="53"/>
                <c:pt idx="0">
                  <c:v>-0.29654195678697226</c:v>
                </c:pt>
                <c:pt idx="1">
                  <c:v>-0.29804046508194992</c:v>
                </c:pt>
                <c:pt idx="2">
                  <c:v>-0.29920634470024865</c:v>
                </c:pt>
                <c:pt idx="3">
                  <c:v>-0.30003931119635729</c:v>
                </c:pt>
                <c:pt idx="4">
                  <c:v>-0.30053916792201174</c:v>
                </c:pt>
                <c:pt idx="5">
                  <c:v>-0.30070579950427323</c:v>
                </c:pt>
                <c:pt idx="6">
                  <c:v>-0.30053916792201174</c:v>
                </c:pt>
                <c:pt idx="7">
                  <c:v>-0.30003931119635729</c:v>
                </c:pt>
                <c:pt idx="8">
                  <c:v>-0.29920634470024865</c:v>
                </c:pt>
                <c:pt idx="9">
                  <c:v>-0.29804046508194992</c:v>
                </c:pt>
                <c:pt idx="10">
                  <c:v>-0.29654195678697226</c:v>
                </c:pt>
                <c:pt idx="14">
                  <c:v>-0.29654195678697226</c:v>
                </c:pt>
                <c:pt idx="15">
                  <c:v>-0.23845706356958107</c:v>
                </c:pt>
                <c:pt idx="16">
                  <c:v>-0.17955688481449261</c:v>
                </c:pt>
                <c:pt idx="17">
                  <c:v>-0.12004475807606818</c:v>
                </c:pt>
                <c:pt idx="18">
                  <c:v>-6.0124453547445222E-2</c:v>
                </c:pt>
                <c:pt idx="19">
                  <c:v>0</c:v>
                </c:pt>
                <c:pt idx="20">
                  <c:v>6.0124453547445222E-2</c:v>
                </c:pt>
                <c:pt idx="21">
                  <c:v>0.12004475807606818</c:v>
                </c:pt>
                <c:pt idx="22">
                  <c:v>0.17955688481449261</c:v>
                </c:pt>
                <c:pt idx="23">
                  <c:v>0.23845706356958107</c:v>
                </c:pt>
                <c:pt idx="24">
                  <c:v>0.29654195678697226</c:v>
                </c:pt>
                <c:pt idx="28">
                  <c:v>0.29654195678697226</c:v>
                </c:pt>
                <c:pt idx="29">
                  <c:v>0.29804046508194992</c:v>
                </c:pt>
                <c:pt idx="30">
                  <c:v>0.29920634470024865</c:v>
                </c:pt>
                <c:pt idx="31">
                  <c:v>0.30003931119635729</c:v>
                </c:pt>
                <c:pt idx="32">
                  <c:v>0.30053916792201174</c:v>
                </c:pt>
                <c:pt idx="33">
                  <c:v>0.30070579950427323</c:v>
                </c:pt>
                <c:pt idx="34">
                  <c:v>0.30053916792201174</c:v>
                </c:pt>
                <c:pt idx="35">
                  <c:v>0.30003931119635729</c:v>
                </c:pt>
                <c:pt idx="36">
                  <c:v>0.29920634470024865</c:v>
                </c:pt>
                <c:pt idx="37">
                  <c:v>0.29804046508194992</c:v>
                </c:pt>
                <c:pt idx="38">
                  <c:v>0.29654195678697226</c:v>
                </c:pt>
                <c:pt idx="42">
                  <c:v>0.29654195678697226</c:v>
                </c:pt>
                <c:pt idx="43">
                  <c:v>0.23845706356958107</c:v>
                </c:pt>
                <c:pt idx="44">
                  <c:v>0.17955688481449261</c:v>
                </c:pt>
                <c:pt idx="45">
                  <c:v>0.12004475807606818</c:v>
                </c:pt>
                <c:pt idx="46">
                  <c:v>6.0124453547445222E-2</c:v>
                </c:pt>
                <c:pt idx="47">
                  <c:v>0</c:v>
                </c:pt>
                <c:pt idx="48">
                  <c:v>-6.0124453547445222E-2</c:v>
                </c:pt>
                <c:pt idx="49">
                  <c:v>-0.12004475807606818</c:v>
                </c:pt>
                <c:pt idx="50">
                  <c:v>-0.17955688481449261</c:v>
                </c:pt>
                <c:pt idx="51">
                  <c:v>-0.23845706356958107</c:v>
                </c:pt>
                <c:pt idx="52">
                  <c:v>-0.29654195678697226</c:v>
                </c:pt>
              </c:numCache>
              <c:extLst xmlns:c15="http://schemas.microsoft.com/office/drawing/2012/chart"/>
            </c:numRef>
          </c:xVal>
          <c:yVal>
            <c:numRef>
              <c:f>'k2'!$X$5:$X$57</c:f>
              <c:numCache>
                <c:formatCode>General</c:formatCode>
                <c:ptCount val="53"/>
                <c:pt idx="0">
                  <c:v>1.1466625475964136</c:v>
                </c:pt>
                <c:pt idx="1">
                  <c:v>1.1796518660549535</c:v>
                </c:pt>
                <c:pt idx="2">
                  <c:v>1.2127601495610942</c:v>
                </c:pt>
                <c:pt idx="3">
                  <c:v>1.2459574275902445</c:v>
                </c:pt>
                <c:pt idx="4">
                  <c:v>1.2792139254052945</c:v>
                </c:pt>
                <c:pt idx="5">
                  <c:v>1.3125000000000002</c:v>
                </c:pt>
                <c:pt idx="6">
                  <c:v>1.3457860745947061</c:v>
                </c:pt>
                <c:pt idx="7">
                  <c:v>1.3790425724097561</c:v>
                </c:pt>
                <c:pt idx="8">
                  <c:v>1.4122398504389062</c:v>
                </c:pt>
                <c:pt idx="9">
                  <c:v>1.4453481339450469</c:v>
                </c:pt>
                <c:pt idx="10">
                  <c:v>1.4783374524035868</c:v>
                </c:pt>
                <c:pt idx="14">
                  <c:v>1.4783374524035868</c:v>
                </c:pt>
                <c:pt idx="15">
                  <c:v>1.4811389557865935</c:v>
                </c:pt>
                <c:pt idx="16">
                  <c:v>1.4833259766659144</c:v>
                </c:pt>
                <c:pt idx="17">
                  <c:v>1.4848924375001005</c:v>
                </c:pt>
                <c:pt idx="18">
                  <c:v>1.4858340287692602</c:v>
                </c:pt>
                <c:pt idx="19">
                  <c:v>1.4861481776669305</c:v>
                </c:pt>
                <c:pt idx="20">
                  <c:v>1.4858340287692602</c:v>
                </c:pt>
                <c:pt idx="21">
                  <c:v>1.4848924375001005</c:v>
                </c:pt>
                <c:pt idx="22">
                  <c:v>1.4833259766659144</c:v>
                </c:pt>
                <c:pt idx="23">
                  <c:v>1.4811389557865935</c:v>
                </c:pt>
                <c:pt idx="24">
                  <c:v>1.4783374524035868</c:v>
                </c:pt>
                <c:pt idx="28">
                  <c:v>1.4783374524035868</c:v>
                </c:pt>
                <c:pt idx="29">
                  <c:v>1.4453481339450469</c:v>
                </c:pt>
                <c:pt idx="30">
                  <c:v>1.4122398504389062</c:v>
                </c:pt>
                <c:pt idx="31">
                  <c:v>1.3790425724097561</c:v>
                </c:pt>
                <c:pt idx="32">
                  <c:v>1.3457860745947061</c:v>
                </c:pt>
                <c:pt idx="33">
                  <c:v>1.3125000000000002</c:v>
                </c:pt>
                <c:pt idx="34">
                  <c:v>1.2792139254052945</c:v>
                </c:pt>
                <c:pt idx="35">
                  <c:v>1.2459574275902445</c:v>
                </c:pt>
                <c:pt idx="36">
                  <c:v>1.2127601495610942</c:v>
                </c:pt>
                <c:pt idx="37">
                  <c:v>1.1796518660549535</c:v>
                </c:pt>
                <c:pt idx="38">
                  <c:v>1.1466625475964136</c:v>
                </c:pt>
                <c:pt idx="42">
                  <c:v>1.1466625475964136</c:v>
                </c:pt>
                <c:pt idx="43">
                  <c:v>1.1438610442134072</c:v>
                </c:pt>
                <c:pt idx="44">
                  <c:v>1.1416740233340863</c:v>
                </c:pt>
                <c:pt idx="45">
                  <c:v>1.1401075624999</c:v>
                </c:pt>
                <c:pt idx="46">
                  <c:v>1.1391659712307405</c:v>
                </c:pt>
                <c:pt idx="47">
                  <c:v>1.1388518223330699</c:v>
                </c:pt>
                <c:pt idx="48">
                  <c:v>1.1391659712307405</c:v>
                </c:pt>
                <c:pt idx="49">
                  <c:v>1.1401075624999</c:v>
                </c:pt>
                <c:pt idx="50">
                  <c:v>1.1416740233340863</c:v>
                </c:pt>
                <c:pt idx="51">
                  <c:v>1.1438610442134072</c:v>
                </c:pt>
                <c:pt idx="52">
                  <c:v>1.1466625475964136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4-733F-40FF-9867-269CD2DD5A16}"/>
            </c:ext>
          </c:extLst>
        </c:ser>
        <c:ser>
          <c:idx val="8"/>
          <c:order val="8"/>
          <c:tx>
            <c:v>diffracted by DOE3_w2</c:v>
          </c:tx>
          <c:spPr>
            <a:ln w="19050" cap="rnd">
              <a:solidFill>
                <a:srgbClr val="00FF00"/>
              </a:solidFill>
              <a:round/>
            </a:ln>
            <a:effectLst/>
          </c:spPr>
          <c:marker>
            <c:symbol val="none"/>
          </c:marker>
          <c:xVal>
            <c:numRef>
              <c:f>'k2'!$AD$5:$AD$57</c:f>
              <c:numCache>
                <c:formatCode>General</c:formatCode>
                <c:ptCount val="53"/>
                <c:pt idx="0">
                  <c:v>-0.29654195678697221</c:v>
                </c:pt>
                <c:pt idx="1">
                  <c:v>-0.29804046508194987</c:v>
                </c:pt>
                <c:pt idx="2">
                  <c:v>-0.29920634470024859</c:v>
                </c:pt>
                <c:pt idx="3">
                  <c:v>-0.30003931119635724</c:v>
                </c:pt>
                <c:pt idx="4">
                  <c:v>-0.30053916792201169</c:v>
                </c:pt>
                <c:pt idx="5">
                  <c:v>-0.30070579950427317</c:v>
                </c:pt>
                <c:pt idx="6">
                  <c:v>-0.30053916792201169</c:v>
                </c:pt>
                <c:pt idx="7">
                  <c:v>-0.30003931119635724</c:v>
                </c:pt>
                <c:pt idx="8">
                  <c:v>-0.29920634470024859</c:v>
                </c:pt>
                <c:pt idx="9">
                  <c:v>-0.29804046508194987</c:v>
                </c:pt>
                <c:pt idx="10">
                  <c:v>-0.29654195678697221</c:v>
                </c:pt>
                <c:pt idx="14">
                  <c:v>-0.29654195678697221</c:v>
                </c:pt>
                <c:pt idx="15">
                  <c:v>-0.23845706356958099</c:v>
                </c:pt>
                <c:pt idx="16">
                  <c:v>-0.17955688481449253</c:v>
                </c:pt>
                <c:pt idx="17">
                  <c:v>-0.1200447580760681</c:v>
                </c:pt>
                <c:pt idx="18">
                  <c:v>-6.0124453547445139E-2</c:v>
                </c:pt>
                <c:pt idx="19">
                  <c:v>8.0400367353378188E-17</c:v>
                </c:pt>
                <c:pt idx="20">
                  <c:v>6.0124453547445306E-2</c:v>
                </c:pt>
                <c:pt idx="21">
                  <c:v>0.12004475807606826</c:v>
                </c:pt>
                <c:pt idx="22">
                  <c:v>0.1795568848144927</c:v>
                </c:pt>
                <c:pt idx="23">
                  <c:v>0.23845706356958116</c:v>
                </c:pt>
                <c:pt idx="24">
                  <c:v>0.29654195678697232</c:v>
                </c:pt>
                <c:pt idx="28">
                  <c:v>0.29654195678697232</c:v>
                </c:pt>
                <c:pt idx="29">
                  <c:v>0.29804046508194998</c:v>
                </c:pt>
                <c:pt idx="30">
                  <c:v>0.29920634470024871</c:v>
                </c:pt>
                <c:pt idx="31">
                  <c:v>0.30003931119635735</c:v>
                </c:pt>
                <c:pt idx="32">
                  <c:v>0.3005391679220118</c:v>
                </c:pt>
                <c:pt idx="33">
                  <c:v>0.30070579950427329</c:v>
                </c:pt>
                <c:pt idx="34">
                  <c:v>0.3005391679220118</c:v>
                </c:pt>
                <c:pt idx="35">
                  <c:v>0.30003931119635735</c:v>
                </c:pt>
                <c:pt idx="36">
                  <c:v>0.29920634470024871</c:v>
                </c:pt>
                <c:pt idx="37">
                  <c:v>0.29804046508194998</c:v>
                </c:pt>
                <c:pt idx="38">
                  <c:v>0.29654195678697232</c:v>
                </c:pt>
                <c:pt idx="42">
                  <c:v>0.29654195678697232</c:v>
                </c:pt>
                <c:pt idx="43">
                  <c:v>0.23845706356958116</c:v>
                </c:pt>
                <c:pt idx="44">
                  <c:v>0.1795568848144927</c:v>
                </c:pt>
                <c:pt idx="45">
                  <c:v>0.12004475807606826</c:v>
                </c:pt>
                <c:pt idx="46">
                  <c:v>6.0124453547445306E-2</c:v>
                </c:pt>
                <c:pt idx="47">
                  <c:v>8.0400367353378188E-17</c:v>
                </c:pt>
                <c:pt idx="48">
                  <c:v>-6.0124453547445139E-2</c:v>
                </c:pt>
                <c:pt idx="49">
                  <c:v>-0.1200447580760681</c:v>
                </c:pt>
                <c:pt idx="50">
                  <c:v>-0.17955688481449253</c:v>
                </c:pt>
                <c:pt idx="51">
                  <c:v>-0.23845706356958099</c:v>
                </c:pt>
                <c:pt idx="52">
                  <c:v>-0.29654195678697221</c:v>
                </c:pt>
              </c:numCache>
              <c:extLst xmlns:c15="http://schemas.microsoft.com/office/drawing/2012/chart"/>
            </c:numRef>
          </c:xVal>
          <c:yVal>
            <c:numRef>
              <c:f>'k2'!$AE$5:$AE$57</c:f>
              <c:numCache>
                <c:formatCode>General</c:formatCode>
                <c:ptCount val="53"/>
                <c:pt idx="0">
                  <c:v>-0.16583745240358638</c:v>
                </c:pt>
                <c:pt idx="1">
                  <c:v>-0.13284813394504646</c:v>
                </c:pt>
                <c:pt idx="2">
                  <c:v>-9.9739850438905764E-2</c:v>
                </c:pt>
                <c:pt idx="3">
                  <c:v>-6.6542572409755474E-2</c:v>
                </c:pt>
                <c:pt idx="4">
                  <c:v>-3.328607459470545E-2</c:v>
                </c:pt>
                <c:pt idx="5">
                  <c:v>0</c:v>
                </c:pt>
                <c:pt idx="6">
                  <c:v>3.3286074594706117E-2</c:v>
                </c:pt>
                <c:pt idx="7">
                  <c:v>6.654257240975614E-2</c:v>
                </c:pt>
                <c:pt idx="8">
                  <c:v>9.9739850438906208E-2</c:v>
                </c:pt>
                <c:pt idx="9">
                  <c:v>0.13284813394504691</c:v>
                </c:pt>
                <c:pt idx="10">
                  <c:v>0.16583745240358683</c:v>
                </c:pt>
                <c:pt idx="14">
                  <c:v>0.16583745240358683</c:v>
                </c:pt>
                <c:pt idx="15">
                  <c:v>0.16863895578659349</c:v>
                </c:pt>
                <c:pt idx="16">
                  <c:v>0.17082597666591437</c:v>
                </c:pt>
                <c:pt idx="17">
                  <c:v>0.17239243750010047</c:v>
                </c:pt>
                <c:pt idx="18">
                  <c:v>0.17333402876926018</c:v>
                </c:pt>
                <c:pt idx="19">
                  <c:v>0.17364817766693053</c:v>
                </c:pt>
                <c:pt idx="20">
                  <c:v>0.17333402876926018</c:v>
                </c:pt>
                <c:pt idx="21">
                  <c:v>0.17239243750010047</c:v>
                </c:pt>
                <c:pt idx="22">
                  <c:v>0.17082597666591437</c:v>
                </c:pt>
                <c:pt idx="23">
                  <c:v>0.16863895578659349</c:v>
                </c:pt>
                <c:pt idx="24">
                  <c:v>0.16583745240358683</c:v>
                </c:pt>
                <c:pt idx="28">
                  <c:v>0.16583745240358683</c:v>
                </c:pt>
                <c:pt idx="29">
                  <c:v>0.13284813394504691</c:v>
                </c:pt>
                <c:pt idx="30">
                  <c:v>9.9739850438906208E-2</c:v>
                </c:pt>
                <c:pt idx="31">
                  <c:v>6.654257240975614E-2</c:v>
                </c:pt>
                <c:pt idx="32">
                  <c:v>3.3286074594706117E-2</c:v>
                </c:pt>
                <c:pt idx="33">
                  <c:v>0</c:v>
                </c:pt>
                <c:pt idx="34">
                  <c:v>-3.328607459470545E-2</c:v>
                </c:pt>
                <c:pt idx="35">
                  <c:v>-6.6542572409755474E-2</c:v>
                </c:pt>
                <c:pt idx="36">
                  <c:v>-9.9739850438905764E-2</c:v>
                </c:pt>
                <c:pt idx="37">
                  <c:v>-0.13284813394504646</c:v>
                </c:pt>
                <c:pt idx="38">
                  <c:v>-0.16583745240358638</c:v>
                </c:pt>
                <c:pt idx="42">
                  <c:v>-0.16583745240358638</c:v>
                </c:pt>
                <c:pt idx="43">
                  <c:v>-0.16863895578659283</c:v>
                </c:pt>
                <c:pt idx="44">
                  <c:v>-0.1708259766659137</c:v>
                </c:pt>
                <c:pt idx="45">
                  <c:v>-0.17239243750010003</c:v>
                </c:pt>
                <c:pt idx="46">
                  <c:v>-0.17333402876925952</c:v>
                </c:pt>
                <c:pt idx="47">
                  <c:v>-0.17364817766693008</c:v>
                </c:pt>
                <c:pt idx="48">
                  <c:v>-0.17333402876925952</c:v>
                </c:pt>
                <c:pt idx="49">
                  <c:v>-0.17239243750010003</c:v>
                </c:pt>
                <c:pt idx="50">
                  <c:v>-0.1708259766659137</c:v>
                </c:pt>
                <c:pt idx="51">
                  <c:v>-0.16863895578659283</c:v>
                </c:pt>
                <c:pt idx="52">
                  <c:v>-0.16583745240358638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5-733F-40FF-9867-269CD2DD5A16}"/>
            </c:ext>
          </c:extLst>
        </c:ser>
        <c:ser>
          <c:idx val="9"/>
          <c:order val="9"/>
          <c:tx>
            <c:v>diffracted by DOE1_w3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'k3'!$P$5:$P$57</c:f>
              <c:numCache>
                <c:formatCode>General</c:formatCode>
                <c:ptCount val="53"/>
                <c:pt idx="0">
                  <c:v>-1.8590419567869723</c:v>
                </c:pt>
                <c:pt idx="1">
                  <c:v>-1.8605404650819499</c:v>
                </c:pt>
                <c:pt idx="2">
                  <c:v>-1.8617063447002486</c:v>
                </c:pt>
                <c:pt idx="3">
                  <c:v>-1.8625393111963573</c:v>
                </c:pt>
                <c:pt idx="4">
                  <c:v>-1.8630391679220117</c:v>
                </c:pt>
                <c:pt idx="5">
                  <c:v>-1.8632057995042732</c:v>
                </c:pt>
                <c:pt idx="6">
                  <c:v>-1.8630391679220117</c:v>
                </c:pt>
                <c:pt idx="7">
                  <c:v>-1.8625393111963573</c:v>
                </c:pt>
                <c:pt idx="8">
                  <c:v>-1.8617063447002486</c:v>
                </c:pt>
                <c:pt idx="9">
                  <c:v>-1.8605404650819499</c:v>
                </c:pt>
                <c:pt idx="10">
                  <c:v>-1.8590419567869723</c:v>
                </c:pt>
                <c:pt idx="14">
                  <c:v>-1.8590419567869723</c:v>
                </c:pt>
                <c:pt idx="15">
                  <c:v>-1.8009570635695811</c:v>
                </c:pt>
                <c:pt idx="16">
                  <c:v>-1.7420568848144926</c:v>
                </c:pt>
                <c:pt idx="17">
                  <c:v>-1.6825447580760682</c:v>
                </c:pt>
                <c:pt idx="18">
                  <c:v>-1.6226244535474452</c:v>
                </c:pt>
                <c:pt idx="19">
                  <c:v>-1.5625</c:v>
                </c:pt>
                <c:pt idx="20">
                  <c:v>-1.5023755464525548</c:v>
                </c:pt>
                <c:pt idx="21">
                  <c:v>-1.4424552419239318</c:v>
                </c:pt>
                <c:pt idx="22">
                  <c:v>-1.3829431151855074</c:v>
                </c:pt>
                <c:pt idx="23">
                  <c:v>-1.3240429364304189</c:v>
                </c:pt>
                <c:pt idx="24">
                  <c:v>-1.2659580432130277</c:v>
                </c:pt>
                <c:pt idx="28">
                  <c:v>-1.2659580432130277</c:v>
                </c:pt>
                <c:pt idx="29">
                  <c:v>-1.2644595349180501</c:v>
                </c:pt>
                <c:pt idx="30">
                  <c:v>-1.2632936552997514</c:v>
                </c:pt>
                <c:pt idx="31">
                  <c:v>-1.2624606888036427</c:v>
                </c:pt>
                <c:pt idx="32">
                  <c:v>-1.2619608320779883</c:v>
                </c:pt>
                <c:pt idx="33">
                  <c:v>-1.2617942004957268</c:v>
                </c:pt>
                <c:pt idx="34">
                  <c:v>-1.2619608320779883</c:v>
                </c:pt>
                <c:pt idx="35">
                  <c:v>-1.2624606888036427</c:v>
                </c:pt>
                <c:pt idx="36">
                  <c:v>-1.2632936552997514</c:v>
                </c:pt>
                <c:pt idx="37">
                  <c:v>-1.2644595349180501</c:v>
                </c:pt>
                <c:pt idx="38">
                  <c:v>-1.2659580432130277</c:v>
                </c:pt>
                <c:pt idx="42">
                  <c:v>-1.2659580432130277</c:v>
                </c:pt>
                <c:pt idx="43">
                  <c:v>-1.3240429364304189</c:v>
                </c:pt>
                <c:pt idx="44">
                  <c:v>-1.3829431151855074</c:v>
                </c:pt>
                <c:pt idx="45">
                  <c:v>-1.4424552419239318</c:v>
                </c:pt>
                <c:pt idx="46">
                  <c:v>-1.5023755464525548</c:v>
                </c:pt>
                <c:pt idx="47">
                  <c:v>-1.5625</c:v>
                </c:pt>
                <c:pt idx="48">
                  <c:v>-1.6226244535474452</c:v>
                </c:pt>
                <c:pt idx="49">
                  <c:v>-1.6825447580760682</c:v>
                </c:pt>
                <c:pt idx="50">
                  <c:v>-1.7420568848144926</c:v>
                </c:pt>
                <c:pt idx="51">
                  <c:v>-1.8009570635695811</c:v>
                </c:pt>
                <c:pt idx="52">
                  <c:v>-1.8590419567869723</c:v>
                </c:pt>
              </c:numCache>
              <c:extLst xmlns:c15="http://schemas.microsoft.com/office/drawing/2012/chart"/>
            </c:numRef>
          </c:xVal>
          <c:yVal>
            <c:numRef>
              <c:f>'k3'!$Q$5:$Q$57</c:f>
              <c:numCache>
                <c:formatCode>General</c:formatCode>
                <c:ptCount val="53"/>
                <c:pt idx="0">
                  <c:v>-0.16583745240358677</c:v>
                </c:pt>
                <c:pt idx="1">
                  <c:v>-0.13284813394504691</c:v>
                </c:pt>
                <c:pt idx="2">
                  <c:v>-9.9739850438906208E-2</c:v>
                </c:pt>
                <c:pt idx="3">
                  <c:v>-6.6542572409756029E-2</c:v>
                </c:pt>
                <c:pt idx="4">
                  <c:v>-3.3286074594705971E-2</c:v>
                </c:pt>
                <c:pt idx="5">
                  <c:v>-1.9142944607947188E-16</c:v>
                </c:pt>
                <c:pt idx="6">
                  <c:v>3.3286074594705582E-2</c:v>
                </c:pt>
                <c:pt idx="7">
                  <c:v>6.654257240975564E-2</c:v>
                </c:pt>
                <c:pt idx="8">
                  <c:v>9.9739850438905819E-2</c:v>
                </c:pt>
                <c:pt idx="9">
                  <c:v>0.13284813394504652</c:v>
                </c:pt>
                <c:pt idx="10">
                  <c:v>0.16583745240358638</c:v>
                </c:pt>
                <c:pt idx="14">
                  <c:v>0.16583745240358638</c:v>
                </c:pt>
                <c:pt idx="15">
                  <c:v>0.16863895578659296</c:v>
                </c:pt>
                <c:pt idx="16">
                  <c:v>0.17082597666591384</c:v>
                </c:pt>
                <c:pt idx="17">
                  <c:v>0.1723924375001</c:v>
                </c:pt>
                <c:pt idx="18">
                  <c:v>0.17333402876925968</c:v>
                </c:pt>
                <c:pt idx="19">
                  <c:v>0.17364817766693016</c:v>
                </c:pt>
                <c:pt idx="20">
                  <c:v>0.17333402876925968</c:v>
                </c:pt>
                <c:pt idx="21">
                  <c:v>0.1723924375001</c:v>
                </c:pt>
                <c:pt idx="22">
                  <c:v>0.17082597666591384</c:v>
                </c:pt>
                <c:pt idx="23">
                  <c:v>0.16863895578659296</c:v>
                </c:pt>
                <c:pt idx="24">
                  <c:v>0.16583745240358638</c:v>
                </c:pt>
                <c:pt idx="28">
                  <c:v>0.16583745240358638</c:v>
                </c:pt>
                <c:pt idx="29">
                  <c:v>0.13284813394504652</c:v>
                </c:pt>
                <c:pt idx="30">
                  <c:v>9.9739850438905819E-2</c:v>
                </c:pt>
                <c:pt idx="31">
                  <c:v>6.654257240975564E-2</c:v>
                </c:pt>
                <c:pt idx="32">
                  <c:v>3.3286074594705582E-2</c:v>
                </c:pt>
                <c:pt idx="33">
                  <c:v>-1.9142944607947188E-16</c:v>
                </c:pt>
                <c:pt idx="34">
                  <c:v>-3.3286074594705971E-2</c:v>
                </c:pt>
                <c:pt idx="35">
                  <c:v>-6.6542572409756029E-2</c:v>
                </c:pt>
                <c:pt idx="36">
                  <c:v>-9.9739850438906208E-2</c:v>
                </c:pt>
                <c:pt idx="37">
                  <c:v>-0.13284813394504691</c:v>
                </c:pt>
                <c:pt idx="38">
                  <c:v>-0.16583745240358677</c:v>
                </c:pt>
                <c:pt idx="42">
                  <c:v>-0.16583745240358677</c:v>
                </c:pt>
                <c:pt idx="43">
                  <c:v>-0.16863895578659335</c:v>
                </c:pt>
                <c:pt idx="44">
                  <c:v>-0.17082597666591423</c:v>
                </c:pt>
                <c:pt idx="45">
                  <c:v>-0.17239243750010039</c:v>
                </c:pt>
                <c:pt idx="46">
                  <c:v>-0.17333402876926007</c:v>
                </c:pt>
                <c:pt idx="47">
                  <c:v>-0.17364817766693055</c:v>
                </c:pt>
                <c:pt idx="48">
                  <c:v>-0.17333402876926007</c:v>
                </c:pt>
                <c:pt idx="49">
                  <c:v>-0.17239243750010039</c:v>
                </c:pt>
                <c:pt idx="50">
                  <c:v>-0.17082597666591423</c:v>
                </c:pt>
                <c:pt idx="51">
                  <c:v>-0.16863895578659335</c:v>
                </c:pt>
                <c:pt idx="52">
                  <c:v>-0.16583745240358677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6-733F-40FF-9867-269CD2DD5A16}"/>
            </c:ext>
          </c:extLst>
        </c:ser>
        <c:ser>
          <c:idx val="10"/>
          <c:order val="10"/>
          <c:tx>
            <c:v>diffracted by DOE2_w3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'k3'!$W$5:$W$57</c:f>
              <c:numCache>
                <c:formatCode>General</c:formatCode>
                <c:ptCount val="53"/>
                <c:pt idx="0">
                  <c:v>-0.29654195678697226</c:v>
                </c:pt>
                <c:pt idx="1">
                  <c:v>-0.29804046508194992</c:v>
                </c:pt>
                <c:pt idx="2">
                  <c:v>-0.29920634470024865</c:v>
                </c:pt>
                <c:pt idx="3">
                  <c:v>-0.30003931119635729</c:v>
                </c:pt>
                <c:pt idx="4">
                  <c:v>-0.30053916792201174</c:v>
                </c:pt>
                <c:pt idx="5">
                  <c:v>-0.30070579950427323</c:v>
                </c:pt>
                <c:pt idx="6">
                  <c:v>-0.30053916792201174</c:v>
                </c:pt>
                <c:pt idx="7">
                  <c:v>-0.30003931119635729</c:v>
                </c:pt>
                <c:pt idx="8">
                  <c:v>-0.29920634470024865</c:v>
                </c:pt>
                <c:pt idx="9">
                  <c:v>-0.29804046508194992</c:v>
                </c:pt>
                <c:pt idx="10">
                  <c:v>-0.29654195678697226</c:v>
                </c:pt>
                <c:pt idx="14">
                  <c:v>-0.29654195678697226</c:v>
                </c:pt>
                <c:pt idx="15">
                  <c:v>-0.23845706356958107</c:v>
                </c:pt>
                <c:pt idx="16">
                  <c:v>-0.17955688481449261</c:v>
                </c:pt>
                <c:pt idx="17">
                  <c:v>-0.12004475807606818</c:v>
                </c:pt>
                <c:pt idx="18">
                  <c:v>-6.0124453547445222E-2</c:v>
                </c:pt>
                <c:pt idx="19">
                  <c:v>0</c:v>
                </c:pt>
                <c:pt idx="20">
                  <c:v>6.0124453547445222E-2</c:v>
                </c:pt>
                <c:pt idx="21">
                  <c:v>0.12004475807606818</c:v>
                </c:pt>
                <c:pt idx="22">
                  <c:v>0.17955688481449261</c:v>
                </c:pt>
                <c:pt idx="23">
                  <c:v>0.23845706356958107</c:v>
                </c:pt>
                <c:pt idx="24">
                  <c:v>0.29654195678697226</c:v>
                </c:pt>
                <c:pt idx="28">
                  <c:v>0.29654195678697226</c:v>
                </c:pt>
                <c:pt idx="29">
                  <c:v>0.29804046508194992</c:v>
                </c:pt>
                <c:pt idx="30">
                  <c:v>0.29920634470024865</c:v>
                </c:pt>
                <c:pt idx="31">
                  <c:v>0.30003931119635729</c:v>
                </c:pt>
                <c:pt idx="32">
                  <c:v>0.30053916792201174</c:v>
                </c:pt>
                <c:pt idx="33">
                  <c:v>0.30070579950427323</c:v>
                </c:pt>
                <c:pt idx="34">
                  <c:v>0.30053916792201174</c:v>
                </c:pt>
                <c:pt idx="35">
                  <c:v>0.30003931119635729</c:v>
                </c:pt>
                <c:pt idx="36">
                  <c:v>0.29920634470024865</c:v>
                </c:pt>
                <c:pt idx="37">
                  <c:v>0.29804046508194992</c:v>
                </c:pt>
                <c:pt idx="38">
                  <c:v>0.29654195678697226</c:v>
                </c:pt>
                <c:pt idx="42">
                  <c:v>0.29654195678697226</c:v>
                </c:pt>
                <c:pt idx="43">
                  <c:v>0.23845706356958107</c:v>
                </c:pt>
                <c:pt idx="44">
                  <c:v>0.17955688481449261</c:v>
                </c:pt>
                <c:pt idx="45">
                  <c:v>0.12004475807606818</c:v>
                </c:pt>
                <c:pt idx="46">
                  <c:v>6.0124453547445222E-2</c:v>
                </c:pt>
                <c:pt idx="47">
                  <c:v>0</c:v>
                </c:pt>
                <c:pt idx="48">
                  <c:v>-6.0124453547445222E-2</c:v>
                </c:pt>
                <c:pt idx="49">
                  <c:v>-0.12004475807606818</c:v>
                </c:pt>
                <c:pt idx="50">
                  <c:v>-0.17955688481449261</c:v>
                </c:pt>
                <c:pt idx="51">
                  <c:v>-0.23845706356958107</c:v>
                </c:pt>
                <c:pt idx="52">
                  <c:v>-0.29654195678697226</c:v>
                </c:pt>
              </c:numCache>
              <c:extLst xmlns:c15="http://schemas.microsoft.com/office/drawing/2012/chart"/>
            </c:numRef>
          </c:xVal>
          <c:yVal>
            <c:numRef>
              <c:f>'k3'!$X$5:$X$57</c:f>
              <c:numCache>
                <c:formatCode>General</c:formatCode>
                <c:ptCount val="53"/>
                <c:pt idx="0">
                  <c:v>1.3966625475964138</c:v>
                </c:pt>
                <c:pt idx="1">
                  <c:v>1.4296518660549538</c:v>
                </c:pt>
                <c:pt idx="2">
                  <c:v>1.4627601495610945</c:v>
                </c:pt>
                <c:pt idx="3">
                  <c:v>1.4959574275902447</c:v>
                </c:pt>
                <c:pt idx="4">
                  <c:v>1.5292139254052948</c:v>
                </c:pt>
                <c:pt idx="5">
                  <c:v>1.5625000000000004</c:v>
                </c:pt>
                <c:pt idx="6">
                  <c:v>1.5957860745947063</c:v>
                </c:pt>
                <c:pt idx="7">
                  <c:v>1.6290425724097564</c:v>
                </c:pt>
                <c:pt idx="8">
                  <c:v>1.6622398504389064</c:v>
                </c:pt>
                <c:pt idx="9">
                  <c:v>1.6953481339450471</c:v>
                </c:pt>
                <c:pt idx="10">
                  <c:v>1.728337452403587</c:v>
                </c:pt>
                <c:pt idx="14">
                  <c:v>1.728337452403587</c:v>
                </c:pt>
                <c:pt idx="15">
                  <c:v>1.7311389557865937</c:v>
                </c:pt>
                <c:pt idx="16">
                  <c:v>1.7333259766659146</c:v>
                </c:pt>
                <c:pt idx="17">
                  <c:v>1.7348924375001007</c:v>
                </c:pt>
                <c:pt idx="18">
                  <c:v>1.7358340287692604</c:v>
                </c:pt>
                <c:pt idx="19">
                  <c:v>1.7361481776669307</c:v>
                </c:pt>
                <c:pt idx="20">
                  <c:v>1.7358340287692604</c:v>
                </c:pt>
                <c:pt idx="21">
                  <c:v>1.7348924375001007</c:v>
                </c:pt>
                <c:pt idx="22">
                  <c:v>1.7333259766659146</c:v>
                </c:pt>
                <c:pt idx="23">
                  <c:v>1.7311389557865937</c:v>
                </c:pt>
                <c:pt idx="24">
                  <c:v>1.728337452403587</c:v>
                </c:pt>
                <c:pt idx="28">
                  <c:v>1.728337452403587</c:v>
                </c:pt>
                <c:pt idx="29">
                  <c:v>1.6953481339450471</c:v>
                </c:pt>
                <c:pt idx="30">
                  <c:v>1.6622398504389064</c:v>
                </c:pt>
                <c:pt idx="31">
                  <c:v>1.6290425724097564</c:v>
                </c:pt>
                <c:pt idx="32">
                  <c:v>1.5957860745947063</c:v>
                </c:pt>
                <c:pt idx="33">
                  <c:v>1.5625000000000004</c:v>
                </c:pt>
                <c:pt idx="34">
                  <c:v>1.5292139254052948</c:v>
                </c:pt>
                <c:pt idx="35">
                  <c:v>1.4959574275902447</c:v>
                </c:pt>
                <c:pt idx="36">
                  <c:v>1.4627601495610945</c:v>
                </c:pt>
                <c:pt idx="37">
                  <c:v>1.4296518660549538</c:v>
                </c:pt>
                <c:pt idx="38">
                  <c:v>1.3966625475964138</c:v>
                </c:pt>
                <c:pt idx="42">
                  <c:v>1.3966625475964138</c:v>
                </c:pt>
                <c:pt idx="43">
                  <c:v>1.3938610442134074</c:v>
                </c:pt>
                <c:pt idx="44">
                  <c:v>1.3916740233340865</c:v>
                </c:pt>
                <c:pt idx="45">
                  <c:v>1.3901075624999002</c:v>
                </c:pt>
                <c:pt idx="46">
                  <c:v>1.3891659712307405</c:v>
                </c:pt>
                <c:pt idx="47">
                  <c:v>1.3888518223330701</c:v>
                </c:pt>
                <c:pt idx="48">
                  <c:v>1.3891659712307405</c:v>
                </c:pt>
                <c:pt idx="49">
                  <c:v>1.3901075624999002</c:v>
                </c:pt>
                <c:pt idx="50">
                  <c:v>1.3916740233340865</c:v>
                </c:pt>
                <c:pt idx="51">
                  <c:v>1.3938610442134074</c:v>
                </c:pt>
                <c:pt idx="52">
                  <c:v>1.3966625475964138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7-733F-40FF-9867-269CD2DD5A16}"/>
            </c:ext>
          </c:extLst>
        </c:ser>
        <c:ser>
          <c:idx val="11"/>
          <c:order val="11"/>
          <c:tx>
            <c:v>diffracted by DOE3_w3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'k3'!$AD$5:$AD$57</c:f>
              <c:numCache>
                <c:formatCode>General</c:formatCode>
                <c:ptCount val="53"/>
                <c:pt idx="0">
                  <c:v>-0.29654195678697215</c:v>
                </c:pt>
                <c:pt idx="1">
                  <c:v>-0.29804046508194981</c:v>
                </c:pt>
                <c:pt idx="2">
                  <c:v>-0.29920634470024854</c:v>
                </c:pt>
                <c:pt idx="3">
                  <c:v>-0.30003931119635718</c:v>
                </c:pt>
                <c:pt idx="4">
                  <c:v>-0.30053916792201163</c:v>
                </c:pt>
                <c:pt idx="5">
                  <c:v>-0.30070579950427312</c:v>
                </c:pt>
                <c:pt idx="6">
                  <c:v>-0.30053916792201163</c:v>
                </c:pt>
                <c:pt idx="7">
                  <c:v>-0.30003931119635718</c:v>
                </c:pt>
                <c:pt idx="8">
                  <c:v>-0.29920634470024854</c:v>
                </c:pt>
                <c:pt idx="9">
                  <c:v>-0.29804046508194981</c:v>
                </c:pt>
                <c:pt idx="10">
                  <c:v>-0.29654195678697215</c:v>
                </c:pt>
                <c:pt idx="14">
                  <c:v>-0.29654195678697215</c:v>
                </c:pt>
                <c:pt idx="15">
                  <c:v>-0.23845706356958099</c:v>
                </c:pt>
                <c:pt idx="16">
                  <c:v>-0.17955688481449253</c:v>
                </c:pt>
                <c:pt idx="17">
                  <c:v>-0.12004475807606808</c:v>
                </c:pt>
                <c:pt idx="18">
                  <c:v>-6.0124453547445125E-2</c:v>
                </c:pt>
                <c:pt idx="19">
                  <c:v>9.5714723039735938E-17</c:v>
                </c:pt>
                <c:pt idx="20">
                  <c:v>6.012445354744532E-2</c:v>
                </c:pt>
                <c:pt idx="21">
                  <c:v>0.12004475807606828</c:v>
                </c:pt>
                <c:pt idx="22">
                  <c:v>0.1795568848144927</c:v>
                </c:pt>
                <c:pt idx="23">
                  <c:v>0.23845706356958116</c:v>
                </c:pt>
                <c:pt idx="24">
                  <c:v>0.29654195678697237</c:v>
                </c:pt>
                <c:pt idx="28">
                  <c:v>0.29654195678697237</c:v>
                </c:pt>
                <c:pt idx="29">
                  <c:v>0.29804046508195003</c:v>
                </c:pt>
                <c:pt idx="30">
                  <c:v>0.29920634470024876</c:v>
                </c:pt>
                <c:pt idx="31">
                  <c:v>0.30003931119635741</c:v>
                </c:pt>
                <c:pt idx="32">
                  <c:v>0.30053916792201185</c:v>
                </c:pt>
                <c:pt idx="33">
                  <c:v>0.30070579950427334</c:v>
                </c:pt>
                <c:pt idx="34">
                  <c:v>0.30053916792201185</c:v>
                </c:pt>
                <c:pt idx="35">
                  <c:v>0.30003931119635741</c:v>
                </c:pt>
                <c:pt idx="36">
                  <c:v>0.29920634470024876</c:v>
                </c:pt>
                <c:pt idx="37">
                  <c:v>0.29804046508195003</c:v>
                </c:pt>
                <c:pt idx="38">
                  <c:v>0.29654195678697237</c:v>
                </c:pt>
                <c:pt idx="42">
                  <c:v>0.29654195678697237</c:v>
                </c:pt>
                <c:pt idx="43">
                  <c:v>0.23845706356958116</c:v>
                </c:pt>
                <c:pt idx="44">
                  <c:v>0.1795568848144927</c:v>
                </c:pt>
                <c:pt idx="45">
                  <c:v>0.12004475807606828</c:v>
                </c:pt>
                <c:pt idx="46">
                  <c:v>6.012445354744532E-2</c:v>
                </c:pt>
                <c:pt idx="47">
                  <c:v>9.5714723039735938E-17</c:v>
                </c:pt>
                <c:pt idx="48">
                  <c:v>-6.0124453547445125E-2</c:v>
                </c:pt>
                <c:pt idx="49">
                  <c:v>-0.12004475807606808</c:v>
                </c:pt>
                <c:pt idx="50">
                  <c:v>-0.17955688481449253</c:v>
                </c:pt>
                <c:pt idx="51">
                  <c:v>-0.23845706356958099</c:v>
                </c:pt>
                <c:pt idx="52">
                  <c:v>-0.29654195678697215</c:v>
                </c:pt>
              </c:numCache>
              <c:extLst xmlns:c15="http://schemas.microsoft.com/office/drawing/2012/chart"/>
            </c:numRef>
          </c:xVal>
          <c:yVal>
            <c:numRef>
              <c:f>'k3'!$AE$5:$AE$57</c:f>
              <c:numCache>
                <c:formatCode>General</c:formatCode>
                <c:ptCount val="53"/>
                <c:pt idx="0">
                  <c:v>-0.16583745240358616</c:v>
                </c:pt>
                <c:pt idx="1">
                  <c:v>-0.13284813394504624</c:v>
                </c:pt>
                <c:pt idx="2">
                  <c:v>-9.9739850438905542E-2</c:v>
                </c:pt>
                <c:pt idx="3">
                  <c:v>-6.6542572409755252E-2</c:v>
                </c:pt>
                <c:pt idx="4">
                  <c:v>-3.3286074594705228E-2</c:v>
                </c:pt>
                <c:pt idx="5">
                  <c:v>0</c:v>
                </c:pt>
                <c:pt idx="6">
                  <c:v>3.3286074594706339E-2</c:v>
                </c:pt>
                <c:pt idx="7">
                  <c:v>6.6542572409756362E-2</c:v>
                </c:pt>
                <c:pt idx="8">
                  <c:v>9.973985043890643E-2</c:v>
                </c:pt>
                <c:pt idx="9">
                  <c:v>0.13284813394504713</c:v>
                </c:pt>
                <c:pt idx="10">
                  <c:v>0.16583745240358705</c:v>
                </c:pt>
                <c:pt idx="14">
                  <c:v>0.16583745240358705</c:v>
                </c:pt>
                <c:pt idx="15">
                  <c:v>0.16863895578659371</c:v>
                </c:pt>
                <c:pt idx="16">
                  <c:v>0.17082597666591459</c:v>
                </c:pt>
                <c:pt idx="17">
                  <c:v>0.17239243750010069</c:v>
                </c:pt>
                <c:pt idx="18">
                  <c:v>0.17333402876926041</c:v>
                </c:pt>
                <c:pt idx="19">
                  <c:v>0.17364817766693075</c:v>
                </c:pt>
                <c:pt idx="20">
                  <c:v>0.17333402876926041</c:v>
                </c:pt>
                <c:pt idx="21">
                  <c:v>0.17239243750010069</c:v>
                </c:pt>
                <c:pt idx="22">
                  <c:v>0.17082597666591459</c:v>
                </c:pt>
                <c:pt idx="23">
                  <c:v>0.16863895578659371</c:v>
                </c:pt>
                <c:pt idx="24">
                  <c:v>0.16583745240358705</c:v>
                </c:pt>
                <c:pt idx="28">
                  <c:v>0.16583745240358705</c:v>
                </c:pt>
                <c:pt idx="29">
                  <c:v>0.13284813394504713</c:v>
                </c:pt>
                <c:pt idx="30">
                  <c:v>9.973985043890643E-2</c:v>
                </c:pt>
                <c:pt idx="31">
                  <c:v>6.6542572409756362E-2</c:v>
                </c:pt>
                <c:pt idx="32">
                  <c:v>3.3286074594706339E-2</c:v>
                </c:pt>
                <c:pt idx="33">
                  <c:v>0</c:v>
                </c:pt>
                <c:pt idx="34">
                  <c:v>-3.3286074594705228E-2</c:v>
                </c:pt>
                <c:pt idx="35">
                  <c:v>-6.6542572409755252E-2</c:v>
                </c:pt>
                <c:pt idx="36">
                  <c:v>-9.9739850438905542E-2</c:v>
                </c:pt>
                <c:pt idx="37">
                  <c:v>-0.13284813394504624</c:v>
                </c:pt>
                <c:pt idx="38">
                  <c:v>-0.16583745240358616</c:v>
                </c:pt>
                <c:pt idx="42">
                  <c:v>-0.16583745240358616</c:v>
                </c:pt>
                <c:pt idx="43">
                  <c:v>-0.1686389557865926</c:v>
                </c:pt>
                <c:pt idx="44">
                  <c:v>-0.17082597666591348</c:v>
                </c:pt>
                <c:pt idx="45">
                  <c:v>-0.1723924375000998</c:v>
                </c:pt>
                <c:pt idx="46">
                  <c:v>-0.17333402876925952</c:v>
                </c:pt>
                <c:pt idx="47">
                  <c:v>-0.17364817766692986</c:v>
                </c:pt>
                <c:pt idx="48">
                  <c:v>-0.17333402876925952</c:v>
                </c:pt>
                <c:pt idx="49">
                  <c:v>-0.1723924375000998</c:v>
                </c:pt>
                <c:pt idx="50">
                  <c:v>-0.17082597666591348</c:v>
                </c:pt>
                <c:pt idx="51">
                  <c:v>-0.1686389557865926</c:v>
                </c:pt>
                <c:pt idx="52">
                  <c:v>-0.16583745240358616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8-733F-40FF-9867-269CD2DD5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714624"/>
        <c:axId val="1501713184"/>
        <c:extLst/>
      </c:scatterChart>
      <c:valAx>
        <c:axId val="1501714624"/>
        <c:scaling>
          <c:orientation val="minMax"/>
          <c:max val="2.5"/>
          <c:min val="-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1713184"/>
        <c:crossesAt val="0"/>
        <c:crossBetween val="midCat"/>
        <c:majorUnit val="0.5"/>
        <c:minorUnit val="0.2"/>
      </c:valAx>
      <c:valAx>
        <c:axId val="1501713184"/>
        <c:scaling>
          <c:orientation val="minMax"/>
          <c:max val="2.5"/>
          <c:min val="-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1714624"/>
        <c:crossesAt val="0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150252525252526E-2"/>
          <c:y val="1.3840277777777778E-2"/>
          <c:w val="0.94694778669043378"/>
          <c:h val="0.9723194444444444"/>
        </c:manualLayout>
      </c:layout>
      <c:scatterChart>
        <c:scatterStyle val="lineMarker"/>
        <c:varyColors val="0"/>
        <c:ser>
          <c:idx val="0"/>
          <c:order val="0"/>
          <c:tx>
            <c:v>IC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layout!$B$3:$B$363</c:f>
              <c:numCache>
                <c:formatCode>General</c:formatCode>
                <c:ptCount val="361"/>
                <c:pt idx="0">
                  <c:v>42</c:v>
                </c:pt>
                <c:pt idx="1">
                  <c:v>41.99969539031278</c:v>
                </c:pt>
                <c:pt idx="2">
                  <c:v>41.99878165403819</c:v>
                </c:pt>
                <c:pt idx="3">
                  <c:v>41.997259069509148</c:v>
                </c:pt>
                <c:pt idx="4">
                  <c:v>41.995128100519651</c:v>
                </c:pt>
                <c:pt idx="5">
                  <c:v>41.992389396183491</c:v>
                </c:pt>
                <c:pt idx="6">
                  <c:v>41.989043790736545</c:v>
                </c:pt>
                <c:pt idx="7">
                  <c:v>41.985092303282642</c:v>
                </c:pt>
                <c:pt idx="8">
                  <c:v>41.980536137483142</c:v>
                </c:pt>
                <c:pt idx="9">
                  <c:v>41.975376681190276</c:v>
                </c:pt>
                <c:pt idx="10">
                  <c:v>41.969615506024418</c:v>
                </c:pt>
                <c:pt idx="11">
                  <c:v>41.963254366895328</c:v>
                </c:pt>
                <c:pt idx="12">
                  <c:v>41.956295201467611</c:v>
                </c:pt>
                <c:pt idx="13">
                  <c:v>41.948740129570467</c:v>
                </c:pt>
                <c:pt idx="14">
                  <c:v>41.940591452551992</c:v>
                </c:pt>
                <c:pt idx="15">
                  <c:v>41.931851652578139</c:v>
                </c:pt>
                <c:pt idx="16">
                  <c:v>41.922523391876638</c:v>
                </c:pt>
                <c:pt idx="17">
                  <c:v>41.912609511926071</c:v>
                </c:pt>
                <c:pt idx="18">
                  <c:v>41.902113032590307</c:v>
                </c:pt>
                <c:pt idx="19">
                  <c:v>41.891037151198631</c:v>
                </c:pt>
                <c:pt idx="20">
                  <c:v>41.879385241571818</c:v>
                </c:pt>
                <c:pt idx="21">
                  <c:v>41.867160852994402</c:v>
                </c:pt>
                <c:pt idx="22">
                  <c:v>41.854367709133577</c:v>
                </c:pt>
                <c:pt idx="23">
                  <c:v>41.841009706904877</c:v>
                </c:pt>
                <c:pt idx="24">
                  <c:v>41.827090915285204</c:v>
                </c:pt>
                <c:pt idx="25">
                  <c:v>41.812615574073298</c:v>
                </c:pt>
                <c:pt idx="26">
                  <c:v>41.797588092598332</c:v>
                </c:pt>
                <c:pt idx="27">
                  <c:v>41.782013048376733</c:v>
                </c:pt>
                <c:pt idx="28">
                  <c:v>41.765895185717852</c:v>
                </c:pt>
                <c:pt idx="29">
                  <c:v>41.74923941427879</c:v>
                </c:pt>
                <c:pt idx="30">
                  <c:v>41.732050807568875</c:v>
                </c:pt>
                <c:pt idx="31">
                  <c:v>41.714334601404225</c:v>
                </c:pt>
                <c:pt idx="32">
                  <c:v>41.696096192312851</c:v>
                </c:pt>
                <c:pt idx="33">
                  <c:v>41.677341135890849</c:v>
                </c:pt>
                <c:pt idx="34">
                  <c:v>41.658075145110082</c:v>
                </c:pt>
                <c:pt idx="35">
                  <c:v>41.638304088577982</c:v>
                </c:pt>
                <c:pt idx="36">
                  <c:v>41.618033988749893</c:v>
                </c:pt>
                <c:pt idx="37">
                  <c:v>41.597271020094588</c:v>
                </c:pt>
                <c:pt idx="38">
                  <c:v>41.576021507213447</c:v>
                </c:pt>
                <c:pt idx="39">
                  <c:v>41.55429192291394</c:v>
                </c:pt>
                <c:pt idx="40">
                  <c:v>41.532088886237958</c:v>
                </c:pt>
                <c:pt idx="41">
                  <c:v>41.509419160445546</c:v>
                </c:pt>
                <c:pt idx="42">
                  <c:v>41.486289650954788</c:v>
                </c:pt>
                <c:pt idx="43">
                  <c:v>41.46270740323834</c:v>
                </c:pt>
                <c:pt idx="44">
                  <c:v>41.438679600677304</c:v>
                </c:pt>
                <c:pt idx="45">
                  <c:v>41.414213562373092</c:v>
                </c:pt>
                <c:pt idx="46">
                  <c:v>41.389316740917998</c:v>
                </c:pt>
                <c:pt idx="47">
                  <c:v>41.363996720124995</c:v>
                </c:pt>
                <c:pt idx="48">
                  <c:v>41.338261212717718</c:v>
                </c:pt>
                <c:pt idx="49">
                  <c:v>41.312118057981017</c:v>
                </c:pt>
                <c:pt idx="50">
                  <c:v>41.285575219373079</c:v>
                </c:pt>
                <c:pt idx="51">
                  <c:v>41.258640782099675</c:v>
                </c:pt>
                <c:pt idx="52">
                  <c:v>41.231322950651318</c:v>
                </c:pt>
                <c:pt idx="53">
                  <c:v>41.203630046304099</c:v>
                </c:pt>
                <c:pt idx="54">
                  <c:v>41.175570504584947</c:v>
                </c:pt>
                <c:pt idx="55">
                  <c:v>41.147152872702094</c:v>
                </c:pt>
                <c:pt idx="56">
                  <c:v>41.118385806941497</c:v>
                </c:pt>
                <c:pt idx="57">
                  <c:v>41.089278070030055</c:v>
                </c:pt>
                <c:pt idx="58">
                  <c:v>41.059838528466408</c:v>
                </c:pt>
                <c:pt idx="59">
                  <c:v>41.030076149820111</c:v>
                </c:pt>
                <c:pt idx="60">
                  <c:v>41</c:v>
                </c:pt>
                <c:pt idx="61">
                  <c:v>40.969619240492676</c:v>
                </c:pt>
                <c:pt idx="62">
                  <c:v>40.938943125571782</c:v>
                </c:pt>
                <c:pt idx="63">
                  <c:v>40.907980999479093</c:v>
                </c:pt>
                <c:pt idx="64">
                  <c:v>40.876742293578154</c:v>
                </c:pt>
                <c:pt idx="65">
                  <c:v>40.845236523481397</c:v>
                </c:pt>
                <c:pt idx="66">
                  <c:v>40.813473286151599</c:v>
                </c:pt>
                <c:pt idx="67">
                  <c:v>40.78146225697855</c:v>
                </c:pt>
                <c:pt idx="68">
                  <c:v>40.749213186831824</c:v>
                </c:pt>
                <c:pt idx="69">
                  <c:v>40.716735899090601</c:v>
                </c:pt>
                <c:pt idx="70">
                  <c:v>40.684040286651339</c:v>
                </c:pt>
                <c:pt idx="71">
                  <c:v>40.65113630891431</c:v>
                </c:pt>
                <c:pt idx="72">
                  <c:v>40.618033988749893</c:v>
                </c:pt>
                <c:pt idx="73">
                  <c:v>40.584743409445473</c:v>
                </c:pt>
                <c:pt idx="74">
                  <c:v>40.551274711634001</c:v>
                </c:pt>
                <c:pt idx="75">
                  <c:v>40.51763809020504</c:v>
                </c:pt>
                <c:pt idx="76">
                  <c:v>40.483843791199334</c:v>
                </c:pt>
                <c:pt idx="77">
                  <c:v>40.449902108687731</c:v>
                </c:pt>
                <c:pt idx="78">
                  <c:v>40.415823381635519</c:v>
                </c:pt>
                <c:pt idx="79">
                  <c:v>40.381617990753092</c:v>
                </c:pt>
                <c:pt idx="80">
                  <c:v>40.34729635533386</c:v>
                </c:pt>
                <c:pt idx="81">
                  <c:v>40.312868930080462</c:v>
                </c:pt>
                <c:pt idx="82">
                  <c:v>40.278346201920129</c:v>
                </c:pt>
                <c:pt idx="83">
                  <c:v>40.243738686810296</c:v>
                </c:pt>
                <c:pt idx="84">
                  <c:v>40.209056926535304</c:v>
                </c:pt>
                <c:pt idx="85">
                  <c:v>40.174311485495316</c:v>
                </c:pt>
                <c:pt idx="86">
                  <c:v>40.139512947488249</c:v>
                </c:pt>
                <c:pt idx="87">
                  <c:v>40.104671912485891</c:v>
                </c:pt>
                <c:pt idx="88">
                  <c:v>40.069798993405001</c:v>
                </c:pt>
                <c:pt idx="89">
                  <c:v>40.034904812874565</c:v>
                </c:pt>
                <c:pt idx="90">
                  <c:v>40</c:v>
                </c:pt>
                <c:pt idx="91">
                  <c:v>39.965095187125435</c:v>
                </c:pt>
                <c:pt idx="92">
                  <c:v>39.930201006594999</c:v>
                </c:pt>
                <c:pt idx="93">
                  <c:v>39.895328087514109</c:v>
                </c:pt>
                <c:pt idx="94">
                  <c:v>39.860487052511751</c:v>
                </c:pt>
                <c:pt idx="95">
                  <c:v>39.825688514504684</c:v>
                </c:pt>
                <c:pt idx="96">
                  <c:v>39.790943073464696</c:v>
                </c:pt>
                <c:pt idx="97">
                  <c:v>39.756261313189704</c:v>
                </c:pt>
                <c:pt idx="98">
                  <c:v>39.721653798079871</c:v>
                </c:pt>
                <c:pt idx="99">
                  <c:v>39.687131069919538</c:v>
                </c:pt>
                <c:pt idx="100">
                  <c:v>39.65270364466614</c:v>
                </c:pt>
                <c:pt idx="101">
                  <c:v>39.618382009246908</c:v>
                </c:pt>
                <c:pt idx="102">
                  <c:v>39.584176618364481</c:v>
                </c:pt>
                <c:pt idx="103">
                  <c:v>39.550097891312269</c:v>
                </c:pt>
                <c:pt idx="104">
                  <c:v>39.516156208800666</c:v>
                </c:pt>
                <c:pt idx="105">
                  <c:v>39.48236190979496</c:v>
                </c:pt>
                <c:pt idx="106">
                  <c:v>39.448725288365999</c:v>
                </c:pt>
                <c:pt idx="107">
                  <c:v>39.415256590554527</c:v>
                </c:pt>
                <c:pt idx="108">
                  <c:v>39.381966011250107</c:v>
                </c:pt>
                <c:pt idx="109">
                  <c:v>39.34886369108569</c:v>
                </c:pt>
                <c:pt idx="110">
                  <c:v>39.315959713348661</c:v>
                </c:pt>
                <c:pt idx="111">
                  <c:v>39.283264100909399</c:v>
                </c:pt>
                <c:pt idx="112">
                  <c:v>39.250786813168176</c:v>
                </c:pt>
                <c:pt idx="113">
                  <c:v>39.21853774302145</c:v>
                </c:pt>
                <c:pt idx="114">
                  <c:v>39.186526713848401</c:v>
                </c:pt>
                <c:pt idx="115">
                  <c:v>39.154763476518603</c:v>
                </c:pt>
                <c:pt idx="116">
                  <c:v>39.123257706421846</c:v>
                </c:pt>
                <c:pt idx="117">
                  <c:v>39.092019000520907</c:v>
                </c:pt>
                <c:pt idx="118">
                  <c:v>39.061056874428218</c:v>
                </c:pt>
                <c:pt idx="119">
                  <c:v>39.030380759507324</c:v>
                </c:pt>
                <c:pt idx="120">
                  <c:v>39</c:v>
                </c:pt>
                <c:pt idx="121">
                  <c:v>38.969923850179889</c:v>
                </c:pt>
                <c:pt idx="122">
                  <c:v>38.940161471533592</c:v>
                </c:pt>
                <c:pt idx="123">
                  <c:v>38.910721929969945</c:v>
                </c:pt>
                <c:pt idx="124">
                  <c:v>38.881614193058503</c:v>
                </c:pt>
                <c:pt idx="125">
                  <c:v>38.852847127297906</c:v>
                </c:pt>
                <c:pt idx="126">
                  <c:v>38.824429495415053</c:v>
                </c:pt>
                <c:pt idx="127">
                  <c:v>38.796369953695901</c:v>
                </c:pt>
                <c:pt idx="128">
                  <c:v>38.768677049348682</c:v>
                </c:pt>
                <c:pt idx="129">
                  <c:v>38.741359217900325</c:v>
                </c:pt>
                <c:pt idx="130">
                  <c:v>38.714424780626921</c:v>
                </c:pt>
                <c:pt idx="131">
                  <c:v>38.687881942018983</c:v>
                </c:pt>
                <c:pt idx="132">
                  <c:v>38.661738787282282</c:v>
                </c:pt>
                <c:pt idx="133">
                  <c:v>38.636003279875005</c:v>
                </c:pt>
                <c:pt idx="134">
                  <c:v>38.610683259082002</c:v>
                </c:pt>
                <c:pt idx="135">
                  <c:v>38.585786437626908</c:v>
                </c:pt>
                <c:pt idx="136">
                  <c:v>38.561320399322696</c:v>
                </c:pt>
                <c:pt idx="137">
                  <c:v>38.53729259676166</c:v>
                </c:pt>
                <c:pt idx="138">
                  <c:v>38.513710349045212</c:v>
                </c:pt>
                <c:pt idx="139">
                  <c:v>38.490580839554454</c:v>
                </c:pt>
                <c:pt idx="140">
                  <c:v>38.467911113762042</c:v>
                </c:pt>
                <c:pt idx="141">
                  <c:v>38.44570807708606</c:v>
                </c:pt>
                <c:pt idx="142">
                  <c:v>38.423978492786553</c:v>
                </c:pt>
                <c:pt idx="143">
                  <c:v>38.402728979905412</c:v>
                </c:pt>
                <c:pt idx="144">
                  <c:v>38.381966011250107</c:v>
                </c:pt>
                <c:pt idx="145">
                  <c:v>38.361695911422018</c:v>
                </c:pt>
                <c:pt idx="146">
                  <c:v>38.341924854889918</c:v>
                </c:pt>
                <c:pt idx="147">
                  <c:v>38.322658864109151</c:v>
                </c:pt>
                <c:pt idx="148">
                  <c:v>38.303903807687149</c:v>
                </c:pt>
                <c:pt idx="149">
                  <c:v>38.285665398595775</c:v>
                </c:pt>
                <c:pt idx="150">
                  <c:v>38.267949192431125</c:v>
                </c:pt>
                <c:pt idx="151">
                  <c:v>38.25076058572121</c:v>
                </c:pt>
                <c:pt idx="152">
                  <c:v>38.234104814282148</c:v>
                </c:pt>
                <c:pt idx="153">
                  <c:v>38.217986951623267</c:v>
                </c:pt>
                <c:pt idx="154">
                  <c:v>38.202411907401668</c:v>
                </c:pt>
                <c:pt idx="155">
                  <c:v>38.187384425926702</c:v>
                </c:pt>
                <c:pt idx="156">
                  <c:v>38.172909084714796</c:v>
                </c:pt>
                <c:pt idx="157">
                  <c:v>38.158990293095123</c:v>
                </c:pt>
                <c:pt idx="158">
                  <c:v>38.145632290866423</c:v>
                </c:pt>
                <c:pt idx="159">
                  <c:v>38.132839147005598</c:v>
                </c:pt>
                <c:pt idx="160">
                  <c:v>38.120614758428182</c:v>
                </c:pt>
                <c:pt idx="161">
                  <c:v>38.108962848801369</c:v>
                </c:pt>
                <c:pt idx="162">
                  <c:v>38.097886967409693</c:v>
                </c:pt>
                <c:pt idx="163">
                  <c:v>38.087390488073929</c:v>
                </c:pt>
                <c:pt idx="164">
                  <c:v>38.077476608123362</c:v>
                </c:pt>
                <c:pt idx="165">
                  <c:v>38.068148347421861</c:v>
                </c:pt>
                <c:pt idx="166">
                  <c:v>38.059408547448008</c:v>
                </c:pt>
                <c:pt idx="167">
                  <c:v>38.051259870429533</c:v>
                </c:pt>
                <c:pt idx="168">
                  <c:v>38.043704798532389</c:v>
                </c:pt>
                <c:pt idx="169">
                  <c:v>38.036745633104672</c:v>
                </c:pt>
                <c:pt idx="170">
                  <c:v>38.030384493975582</c:v>
                </c:pt>
                <c:pt idx="171">
                  <c:v>38.024623318809724</c:v>
                </c:pt>
                <c:pt idx="172">
                  <c:v>38.019463862516858</c:v>
                </c:pt>
                <c:pt idx="173">
                  <c:v>38.014907696717358</c:v>
                </c:pt>
                <c:pt idx="174">
                  <c:v>38.010956209263455</c:v>
                </c:pt>
                <c:pt idx="175">
                  <c:v>38.007610603816509</c:v>
                </c:pt>
                <c:pt idx="176">
                  <c:v>38.004871899480349</c:v>
                </c:pt>
                <c:pt idx="177">
                  <c:v>38.002740930490852</c:v>
                </c:pt>
                <c:pt idx="178">
                  <c:v>38.00121834596181</c:v>
                </c:pt>
                <c:pt idx="179">
                  <c:v>38.00030460968722</c:v>
                </c:pt>
                <c:pt idx="180">
                  <c:v>38</c:v>
                </c:pt>
                <c:pt idx="181">
                  <c:v>38.00030460968722</c:v>
                </c:pt>
                <c:pt idx="182">
                  <c:v>38.00121834596181</c:v>
                </c:pt>
                <c:pt idx="183">
                  <c:v>38.002740930490852</c:v>
                </c:pt>
                <c:pt idx="184">
                  <c:v>38.004871899480349</c:v>
                </c:pt>
                <c:pt idx="185">
                  <c:v>38.007610603816509</c:v>
                </c:pt>
                <c:pt idx="186">
                  <c:v>38.010956209263455</c:v>
                </c:pt>
                <c:pt idx="187">
                  <c:v>38.014907696717358</c:v>
                </c:pt>
                <c:pt idx="188">
                  <c:v>38.019463862516858</c:v>
                </c:pt>
                <c:pt idx="189">
                  <c:v>38.024623318809724</c:v>
                </c:pt>
                <c:pt idx="190">
                  <c:v>38.030384493975582</c:v>
                </c:pt>
                <c:pt idx="191">
                  <c:v>38.036745633104672</c:v>
                </c:pt>
                <c:pt idx="192">
                  <c:v>38.043704798532389</c:v>
                </c:pt>
                <c:pt idx="193">
                  <c:v>38.051259870429533</c:v>
                </c:pt>
                <c:pt idx="194">
                  <c:v>38.059408547448008</c:v>
                </c:pt>
                <c:pt idx="195">
                  <c:v>38.068148347421861</c:v>
                </c:pt>
                <c:pt idx="196">
                  <c:v>38.077476608123362</c:v>
                </c:pt>
                <c:pt idx="197">
                  <c:v>38.087390488073929</c:v>
                </c:pt>
                <c:pt idx="198">
                  <c:v>38.097886967409693</c:v>
                </c:pt>
                <c:pt idx="199">
                  <c:v>38.108962848801369</c:v>
                </c:pt>
                <c:pt idx="200">
                  <c:v>38.120614758428182</c:v>
                </c:pt>
                <c:pt idx="201">
                  <c:v>38.132839147005598</c:v>
                </c:pt>
                <c:pt idx="202">
                  <c:v>38.145632290866423</c:v>
                </c:pt>
                <c:pt idx="203">
                  <c:v>38.158990293095123</c:v>
                </c:pt>
                <c:pt idx="204">
                  <c:v>38.172909084714796</c:v>
                </c:pt>
                <c:pt idx="205">
                  <c:v>38.187384425926702</c:v>
                </c:pt>
                <c:pt idx="206">
                  <c:v>38.202411907401668</c:v>
                </c:pt>
                <c:pt idx="207">
                  <c:v>38.217986951623267</c:v>
                </c:pt>
                <c:pt idx="208">
                  <c:v>38.234104814282148</c:v>
                </c:pt>
                <c:pt idx="209">
                  <c:v>38.25076058572121</c:v>
                </c:pt>
                <c:pt idx="210">
                  <c:v>38.267949192431125</c:v>
                </c:pt>
                <c:pt idx="211">
                  <c:v>38.285665398595775</c:v>
                </c:pt>
                <c:pt idx="212">
                  <c:v>38.303903807687149</c:v>
                </c:pt>
                <c:pt idx="213">
                  <c:v>38.322658864109151</c:v>
                </c:pt>
                <c:pt idx="214">
                  <c:v>38.341924854889918</c:v>
                </c:pt>
                <c:pt idx="215">
                  <c:v>38.361695911422018</c:v>
                </c:pt>
                <c:pt idx="216">
                  <c:v>38.381966011250107</c:v>
                </c:pt>
                <c:pt idx="217">
                  <c:v>38.402728979905412</c:v>
                </c:pt>
                <c:pt idx="218">
                  <c:v>38.423978492786553</c:v>
                </c:pt>
                <c:pt idx="219">
                  <c:v>38.44570807708606</c:v>
                </c:pt>
                <c:pt idx="220">
                  <c:v>38.467911113762042</c:v>
                </c:pt>
                <c:pt idx="221">
                  <c:v>38.490580839554454</c:v>
                </c:pt>
                <c:pt idx="222">
                  <c:v>38.513710349045212</c:v>
                </c:pt>
                <c:pt idx="223">
                  <c:v>38.53729259676166</c:v>
                </c:pt>
                <c:pt idx="224">
                  <c:v>38.561320399322696</c:v>
                </c:pt>
                <c:pt idx="225">
                  <c:v>38.585786437626908</c:v>
                </c:pt>
                <c:pt idx="226">
                  <c:v>38.610683259082002</c:v>
                </c:pt>
                <c:pt idx="227">
                  <c:v>38.636003279875005</c:v>
                </c:pt>
                <c:pt idx="228">
                  <c:v>38.661738787282282</c:v>
                </c:pt>
                <c:pt idx="229">
                  <c:v>38.687881942018983</c:v>
                </c:pt>
                <c:pt idx="230">
                  <c:v>38.714424780626921</c:v>
                </c:pt>
                <c:pt idx="231">
                  <c:v>38.741359217900325</c:v>
                </c:pt>
                <c:pt idx="232">
                  <c:v>38.768677049348682</c:v>
                </c:pt>
                <c:pt idx="233">
                  <c:v>38.796369953695901</c:v>
                </c:pt>
                <c:pt idx="234">
                  <c:v>38.824429495415053</c:v>
                </c:pt>
                <c:pt idx="235">
                  <c:v>38.852847127297906</c:v>
                </c:pt>
                <c:pt idx="236">
                  <c:v>38.881614193058503</c:v>
                </c:pt>
                <c:pt idx="237">
                  <c:v>38.910721929969945</c:v>
                </c:pt>
                <c:pt idx="238">
                  <c:v>38.940161471533592</c:v>
                </c:pt>
                <c:pt idx="239">
                  <c:v>38.969923850179889</c:v>
                </c:pt>
                <c:pt idx="240">
                  <c:v>39</c:v>
                </c:pt>
                <c:pt idx="241">
                  <c:v>39.030380759507324</c:v>
                </c:pt>
                <c:pt idx="242">
                  <c:v>39.061056874428218</c:v>
                </c:pt>
                <c:pt idx="243">
                  <c:v>39.092019000520907</c:v>
                </c:pt>
                <c:pt idx="244">
                  <c:v>39.123257706421846</c:v>
                </c:pt>
                <c:pt idx="245">
                  <c:v>39.154763476518603</c:v>
                </c:pt>
                <c:pt idx="246">
                  <c:v>39.186526713848401</c:v>
                </c:pt>
                <c:pt idx="247">
                  <c:v>39.21853774302145</c:v>
                </c:pt>
                <c:pt idx="248">
                  <c:v>39.250786813168176</c:v>
                </c:pt>
                <c:pt idx="249">
                  <c:v>39.283264100909399</c:v>
                </c:pt>
                <c:pt idx="250">
                  <c:v>39.315959713348661</c:v>
                </c:pt>
                <c:pt idx="251">
                  <c:v>39.34886369108569</c:v>
                </c:pt>
                <c:pt idx="252">
                  <c:v>39.381966011250107</c:v>
                </c:pt>
                <c:pt idx="253">
                  <c:v>39.415256590554527</c:v>
                </c:pt>
                <c:pt idx="254">
                  <c:v>39.448725288365999</c:v>
                </c:pt>
                <c:pt idx="255">
                  <c:v>39.48236190979496</c:v>
                </c:pt>
                <c:pt idx="256">
                  <c:v>39.516156208800666</c:v>
                </c:pt>
                <c:pt idx="257">
                  <c:v>39.550097891312269</c:v>
                </c:pt>
                <c:pt idx="258">
                  <c:v>39.584176618364481</c:v>
                </c:pt>
                <c:pt idx="259">
                  <c:v>39.618382009246908</c:v>
                </c:pt>
                <c:pt idx="260">
                  <c:v>39.65270364466614</c:v>
                </c:pt>
                <c:pt idx="261">
                  <c:v>39.687131069919538</c:v>
                </c:pt>
                <c:pt idx="262">
                  <c:v>39.721653798079871</c:v>
                </c:pt>
                <c:pt idx="263">
                  <c:v>39.756261313189704</c:v>
                </c:pt>
                <c:pt idx="264">
                  <c:v>39.790943073464689</c:v>
                </c:pt>
                <c:pt idx="265">
                  <c:v>39.825688514504684</c:v>
                </c:pt>
                <c:pt idx="266">
                  <c:v>39.860487052511751</c:v>
                </c:pt>
                <c:pt idx="267">
                  <c:v>39.895328087514116</c:v>
                </c:pt>
                <c:pt idx="268">
                  <c:v>39.930201006594999</c:v>
                </c:pt>
                <c:pt idx="269">
                  <c:v>39.965095187125435</c:v>
                </c:pt>
                <c:pt idx="270">
                  <c:v>40</c:v>
                </c:pt>
                <c:pt idx="271">
                  <c:v>40.034904812874565</c:v>
                </c:pt>
                <c:pt idx="272">
                  <c:v>40.069798993405001</c:v>
                </c:pt>
                <c:pt idx="273">
                  <c:v>40.104671912485884</c:v>
                </c:pt>
                <c:pt idx="274">
                  <c:v>40.139512947488249</c:v>
                </c:pt>
                <c:pt idx="275">
                  <c:v>40.174311485495316</c:v>
                </c:pt>
                <c:pt idx="276">
                  <c:v>40.209056926535311</c:v>
                </c:pt>
                <c:pt idx="277">
                  <c:v>40.243738686810296</c:v>
                </c:pt>
                <c:pt idx="278">
                  <c:v>40.278346201920129</c:v>
                </c:pt>
                <c:pt idx="279">
                  <c:v>40.312868930080462</c:v>
                </c:pt>
                <c:pt idx="280">
                  <c:v>40.34729635533386</c:v>
                </c:pt>
                <c:pt idx="281">
                  <c:v>40.381617990753085</c:v>
                </c:pt>
                <c:pt idx="282">
                  <c:v>40.415823381635519</c:v>
                </c:pt>
                <c:pt idx="283">
                  <c:v>40.449902108687731</c:v>
                </c:pt>
                <c:pt idx="284">
                  <c:v>40.483843791199334</c:v>
                </c:pt>
                <c:pt idx="285">
                  <c:v>40.51763809020504</c:v>
                </c:pt>
                <c:pt idx="286">
                  <c:v>40.551274711633994</c:v>
                </c:pt>
                <c:pt idx="287">
                  <c:v>40.584743409445473</c:v>
                </c:pt>
                <c:pt idx="288">
                  <c:v>40.618033988749893</c:v>
                </c:pt>
                <c:pt idx="289">
                  <c:v>40.65113630891431</c:v>
                </c:pt>
                <c:pt idx="290">
                  <c:v>40.684040286651339</c:v>
                </c:pt>
                <c:pt idx="291">
                  <c:v>40.716735899090601</c:v>
                </c:pt>
                <c:pt idx="292">
                  <c:v>40.749213186831824</c:v>
                </c:pt>
                <c:pt idx="293">
                  <c:v>40.78146225697855</c:v>
                </c:pt>
                <c:pt idx="294">
                  <c:v>40.813473286151599</c:v>
                </c:pt>
                <c:pt idx="295">
                  <c:v>40.845236523481397</c:v>
                </c:pt>
                <c:pt idx="296">
                  <c:v>40.876742293578154</c:v>
                </c:pt>
                <c:pt idx="297">
                  <c:v>40.907980999479093</c:v>
                </c:pt>
                <c:pt idx="298">
                  <c:v>40.938943125571782</c:v>
                </c:pt>
                <c:pt idx="299">
                  <c:v>40.969619240492676</c:v>
                </c:pt>
                <c:pt idx="300">
                  <c:v>41</c:v>
                </c:pt>
                <c:pt idx="301">
                  <c:v>41.030076149820111</c:v>
                </c:pt>
                <c:pt idx="302">
                  <c:v>41.059838528466408</c:v>
                </c:pt>
                <c:pt idx="303">
                  <c:v>41.089278070030055</c:v>
                </c:pt>
                <c:pt idx="304">
                  <c:v>41.118385806941497</c:v>
                </c:pt>
                <c:pt idx="305">
                  <c:v>41.147152872702094</c:v>
                </c:pt>
                <c:pt idx="306">
                  <c:v>41.175570504584947</c:v>
                </c:pt>
                <c:pt idx="307">
                  <c:v>41.203630046304099</c:v>
                </c:pt>
                <c:pt idx="308">
                  <c:v>41.231322950651318</c:v>
                </c:pt>
                <c:pt idx="309">
                  <c:v>41.258640782099675</c:v>
                </c:pt>
                <c:pt idx="310">
                  <c:v>41.285575219373079</c:v>
                </c:pt>
                <c:pt idx="311">
                  <c:v>41.312118057981017</c:v>
                </c:pt>
                <c:pt idx="312">
                  <c:v>41.338261212717718</c:v>
                </c:pt>
                <c:pt idx="313">
                  <c:v>41.363996720124995</c:v>
                </c:pt>
                <c:pt idx="314">
                  <c:v>41.389316740917991</c:v>
                </c:pt>
                <c:pt idx="315">
                  <c:v>41.414213562373092</c:v>
                </c:pt>
                <c:pt idx="316">
                  <c:v>41.438679600677304</c:v>
                </c:pt>
                <c:pt idx="317">
                  <c:v>41.46270740323834</c:v>
                </c:pt>
                <c:pt idx="318">
                  <c:v>41.486289650954788</c:v>
                </c:pt>
                <c:pt idx="319">
                  <c:v>41.509419160445546</c:v>
                </c:pt>
                <c:pt idx="320">
                  <c:v>41.532088886237958</c:v>
                </c:pt>
                <c:pt idx="321">
                  <c:v>41.55429192291394</c:v>
                </c:pt>
                <c:pt idx="322">
                  <c:v>41.576021507213447</c:v>
                </c:pt>
                <c:pt idx="323">
                  <c:v>41.597271020094588</c:v>
                </c:pt>
                <c:pt idx="324">
                  <c:v>41.618033988749893</c:v>
                </c:pt>
                <c:pt idx="325">
                  <c:v>41.638304088577982</c:v>
                </c:pt>
                <c:pt idx="326">
                  <c:v>41.658075145110082</c:v>
                </c:pt>
                <c:pt idx="327">
                  <c:v>41.677341135890849</c:v>
                </c:pt>
                <c:pt idx="328">
                  <c:v>41.696096192312851</c:v>
                </c:pt>
                <c:pt idx="329">
                  <c:v>41.714334601404225</c:v>
                </c:pt>
                <c:pt idx="330">
                  <c:v>41.732050807568875</c:v>
                </c:pt>
                <c:pt idx="331">
                  <c:v>41.74923941427879</c:v>
                </c:pt>
                <c:pt idx="332">
                  <c:v>41.765895185717852</c:v>
                </c:pt>
                <c:pt idx="333">
                  <c:v>41.782013048376733</c:v>
                </c:pt>
                <c:pt idx="334">
                  <c:v>41.797588092598332</c:v>
                </c:pt>
                <c:pt idx="335">
                  <c:v>41.812615574073298</c:v>
                </c:pt>
                <c:pt idx="336">
                  <c:v>41.827090915285204</c:v>
                </c:pt>
                <c:pt idx="337">
                  <c:v>41.841009706904877</c:v>
                </c:pt>
                <c:pt idx="338">
                  <c:v>41.854367709133577</c:v>
                </c:pt>
                <c:pt idx="339">
                  <c:v>41.867160852994402</c:v>
                </c:pt>
                <c:pt idx="340">
                  <c:v>41.879385241571818</c:v>
                </c:pt>
                <c:pt idx="341">
                  <c:v>41.891037151198631</c:v>
                </c:pt>
                <c:pt idx="342">
                  <c:v>41.902113032590307</c:v>
                </c:pt>
                <c:pt idx="343">
                  <c:v>41.912609511926071</c:v>
                </c:pt>
                <c:pt idx="344">
                  <c:v>41.922523391876638</c:v>
                </c:pt>
                <c:pt idx="345">
                  <c:v>41.931851652578139</c:v>
                </c:pt>
                <c:pt idx="346">
                  <c:v>41.940591452551992</c:v>
                </c:pt>
                <c:pt idx="347">
                  <c:v>41.948740129570467</c:v>
                </c:pt>
                <c:pt idx="348">
                  <c:v>41.956295201467611</c:v>
                </c:pt>
                <c:pt idx="349">
                  <c:v>41.963254366895328</c:v>
                </c:pt>
                <c:pt idx="350">
                  <c:v>41.969615506024418</c:v>
                </c:pt>
                <c:pt idx="351">
                  <c:v>41.975376681190276</c:v>
                </c:pt>
                <c:pt idx="352">
                  <c:v>41.980536137483142</c:v>
                </c:pt>
                <c:pt idx="353">
                  <c:v>41.985092303282642</c:v>
                </c:pt>
                <c:pt idx="354">
                  <c:v>41.989043790736545</c:v>
                </c:pt>
                <c:pt idx="355">
                  <c:v>41.992389396183491</c:v>
                </c:pt>
                <c:pt idx="356">
                  <c:v>41.995128100519651</c:v>
                </c:pt>
                <c:pt idx="357">
                  <c:v>41.997259069509148</c:v>
                </c:pt>
                <c:pt idx="358">
                  <c:v>41.99878165403819</c:v>
                </c:pt>
                <c:pt idx="359">
                  <c:v>41.99969539031278</c:v>
                </c:pt>
                <c:pt idx="360">
                  <c:v>42</c:v>
                </c:pt>
              </c:numCache>
            </c:numRef>
          </c:xVal>
          <c:yVal>
            <c:numRef>
              <c:f>layout!$C$3:$C$363</c:f>
              <c:numCache>
                <c:formatCode>General</c:formatCode>
                <c:ptCount val="361"/>
                <c:pt idx="0">
                  <c:v>-21</c:v>
                </c:pt>
                <c:pt idx="1">
                  <c:v>-20.965095187125431</c:v>
                </c:pt>
                <c:pt idx="2">
                  <c:v>-20.930201006594999</c:v>
                </c:pt>
                <c:pt idx="3">
                  <c:v>-20.895328087514113</c:v>
                </c:pt>
                <c:pt idx="4">
                  <c:v>-20.860487052511751</c:v>
                </c:pt>
                <c:pt idx="5">
                  <c:v>-20.825688514504684</c:v>
                </c:pt>
                <c:pt idx="6">
                  <c:v>-20.790943073464693</c:v>
                </c:pt>
                <c:pt idx="7">
                  <c:v>-20.756261313189704</c:v>
                </c:pt>
                <c:pt idx="8">
                  <c:v>-20.721653798079871</c:v>
                </c:pt>
                <c:pt idx="9">
                  <c:v>-20.687131069919538</c:v>
                </c:pt>
                <c:pt idx="10">
                  <c:v>-20.65270364466614</c:v>
                </c:pt>
                <c:pt idx="11">
                  <c:v>-20.618382009246911</c:v>
                </c:pt>
                <c:pt idx="12">
                  <c:v>-20.584176618364481</c:v>
                </c:pt>
                <c:pt idx="13">
                  <c:v>-20.550097891312269</c:v>
                </c:pt>
                <c:pt idx="14">
                  <c:v>-20.516156208800666</c:v>
                </c:pt>
                <c:pt idx="15">
                  <c:v>-20.48236190979496</c:v>
                </c:pt>
                <c:pt idx="16">
                  <c:v>-20.448725288366003</c:v>
                </c:pt>
                <c:pt idx="17">
                  <c:v>-20.415256590554527</c:v>
                </c:pt>
                <c:pt idx="18">
                  <c:v>-20.381966011250107</c:v>
                </c:pt>
                <c:pt idx="19">
                  <c:v>-20.348863691085686</c:v>
                </c:pt>
                <c:pt idx="20">
                  <c:v>-20.315959713348661</c:v>
                </c:pt>
                <c:pt idx="21">
                  <c:v>-20.283264100909399</c:v>
                </c:pt>
                <c:pt idx="22">
                  <c:v>-20.250786813168176</c:v>
                </c:pt>
                <c:pt idx="23">
                  <c:v>-20.218537743021454</c:v>
                </c:pt>
                <c:pt idx="24">
                  <c:v>-20.186526713848401</c:v>
                </c:pt>
                <c:pt idx="25">
                  <c:v>-20.1547634765186</c:v>
                </c:pt>
                <c:pt idx="26">
                  <c:v>-20.123257706421846</c:v>
                </c:pt>
                <c:pt idx="27">
                  <c:v>-20.092019000520907</c:v>
                </c:pt>
                <c:pt idx="28">
                  <c:v>-20.061056874428218</c:v>
                </c:pt>
                <c:pt idx="29">
                  <c:v>-20.030380759507327</c:v>
                </c:pt>
                <c:pt idx="30">
                  <c:v>-20</c:v>
                </c:pt>
                <c:pt idx="31">
                  <c:v>-19.969923850179892</c:v>
                </c:pt>
                <c:pt idx="32">
                  <c:v>-19.940161471533589</c:v>
                </c:pt>
                <c:pt idx="33">
                  <c:v>-19.910721929969945</c:v>
                </c:pt>
                <c:pt idx="34">
                  <c:v>-19.881614193058507</c:v>
                </c:pt>
                <c:pt idx="35">
                  <c:v>-19.852847127297906</c:v>
                </c:pt>
                <c:pt idx="36">
                  <c:v>-19.824429495415053</c:v>
                </c:pt>
                <c:pt idx="37">
                  <c:v>-19.796369953695905</c:v>
                </c:pt>
                <c:pt idx="38">
                  <c:v>-19.768677049348682</c:v>
                </c:pt>
                <c:pt idx="39">
                  <c:v>-19.741359217900325</c:v>
                </c:pt>
                <c:pt idx="40">
                  <c:v>-19.714424780626921</c:v>
                </c:pt>
                <c:pt idx="41">
                  <c:v>-19.687881942018986</c:v>
                </c:pt>
                <c:pt idx="42">
                  <c:v>-19.661738787282282</c:v>
                </c:pt>
                <c:pt idx="43">
                  <c:v>-19.636003279875002</c:v>
                </c:pt>
                <c:pt idx="44">
                  <c:v>-19.610683259082005</c:v>
                </c:pt>
                <c:pt idx="45">
                  <c:v>-19.585786437626904</c:v>
                </c:pt>
                <c:pt idx="46">
                  <c:v>-19.561320399322696</c:v>
                </c:pt>
                <c:pt idx="47">
                  <c:v>-19.53729259676166</c:v>
                </c:pt>
                <c:pt idx="48">
                  <c:v>-19.513710349045212</c:v>
                </c:pt>
                <c:pt idx="49">
                  <c:v>-19.490580839554458</c:v>
                </c:pt>
                <c:pt idx="50">
                  <c:v>-19.467911113762042</c:v>
                </c:pt>
                <c:pt idx="51">
                  <c:v>-19.44570807708606</c:v>
                </c:pt>
                <c:pt idx="52">
                  <c:v>-19.423978492786556</c:v>
                </c:pt>
                <c:pt idx="53">
                  <c:v>-19.402728979905415</c:v>
                </c:pt>
                <c:pt idx="54">
                  <c:v>-19.381966011250107</c:v>
                </c:pt>
                <c:pt idx="55">
                  <c:v>-19.361695911422018</c:v>
                </c:pt>
                <c:pt idx="56">
                  <c:v>-19.341924854889918</c:v>
                </c:pt>
                <c:pt idx="57">
                  <c:v>-19.322658864109151</c:v>
                </c:pt>
                <c:pt idx="58">
                  <c:v>-19.303903807687149</c:v>
                </c:pt>
                <c:pt idx="59">
                  <c:v>-19.285665398595775</c:v>
                </c:pt>
                <c:pt idx="60">
                  <c:v>-19.267949192431121</c:v>
                </c:pt>
                <c:pt idx="61">
                  <c:v>-19.25076058572121</c:v>
                </c:pt>
                <c:pt idx="62">
                  <c:v>-19.234104814282148</c:v>
                </c:pt>
                <c:pt idx="63">
                  <c:v>-19.217986951623264</c:v>
                </c:pt>
                <c:pt idx="64">
                  <c:v>-19.202411907401665</c:v>
                </c:pt>
                <c:pt idx="65">
                  <c:v>-19.187384425926702</c:v>
                </c:pt>
                <c:pt idx="66">
                  <c:v>-19.172909084714799</c:v>
                </c:pt>
                <c:pt idx="67">
                  <c:v>-19.158990293095119</c:v>
                </c:pt>
                <c:pt idx="68">
                  <c:v>-19.145632290866427</c:v>
                </c:pt>
                <c:pt idx="69">
                  <c:v>-19.132839147005598</c:v>
                </c:pt>
                <c:pt idx="70">
                  <c:v>-19.120614758428182</c:v>
                </c:pt>
                <c:pt idx="71">
                  <c:v>-19.108962848801365</c:v>
                </c:pt>
                <c:pt idx="72">
                  <c:v>-19.097886967409693</c:v>
                </c:pt>
                <c:pt idx="73">
                  <c:v>-19.087390488073929</c:v>
                </c:pt>
                <c:pt idx="74">
                  <c:v>-19.077476608123362</c:v>
                </c:pt>
                <c:pt idx="75">
                  <c:v>-19.068148347421864</c:v>
                </c:pt>
                <c:pt idx="76">
                  <c:v>-19.059408547448008</c:v>
                </c:pt>
                <c:pt idx="77">
                  <c:v>-19.051259870429529</c:v>
                </c:pt>
                <c:pt idx="78">
                  <c:v>-19.043704798532389</c:v>
                </c:pt>
                <c:pt idx="79">
                  <c:v>-19.036745633104672</c:v>
                </c:pt>
                <c:pt idx="80">
                  <c:v>-19.030384493975586</c:v>
                </c:pt>
                <c:pt idx="81">
                  <c:v>-19.024623318809724</c:v>
                </c:pt>
                <c:pt idx="82">
                  <c:v>-19.019463862516858</c:v>
                </c:pt>
                <c:pt idx="83">
                  <c:v>-19.014907696717355</c:v>
                </c:pt>
                <c:pt idx="84">
                  <c:v>-19.010956209263455</c:v>
                </c:pt>
                <c:pt idx="85">
                  <c:v>-19.007610603816509</c:v>
                </c:pt>
                <c:pt idx="86">
                  <c:v>-19.004871899480353</c:v>
                </c:pt>
                <c:pt idx="87">
                  <c:v>-19.002740930490852</c:v>
                </c:pt>
                <c:pt idx="88">
                  <c:v>-19.00121834596181</c:v>
                </c:pt>
                <c:pt idx="89">
                  <c:v>-19.000304609687216</c:v>
                </c:pt>
                <c:pt idx="90">
                  <c:v>-19</c:v>
                </c:pt>
                <c:pt idx="91">
                  <c:v>-19.000304609687216</c:v>
                </c:pt>
                <c:pt idx="92">
                  <c:v>-19.00121834596181</c:v>
                </c:pt>
                <c:pt idx="93">
                  <c:v>-19.002740930490852</c:v>
                </c:pt>
                <c:pt idx="94">
                  <c:v>-19.004871899480353</c:v>
                </c:pt>
                <c:pt idx="95">
                  <c:v>-19.007610603816509</c:v>
                </c:pt>
                <c:pt idx="96">
                  <c:v>-19.010956209263455</c:v>
                </c:pt>
                <c:pt idx="97">
                  <c:v>-19.014907696717355</c:v>
                </c:pt>
                <c:pt idx="98">
                  <c:v>-19.019463862516858</c:v>
                </c:pt>
                <c:pt idx="99">
                  <c:v>-19.024623318809724</c:v>
                </c:pt>
                <c:pt idx="100">
                  <c:v>-19.030384493975586</c:v>
                </c:pt>
                <c:pt idx="101">
                  <c:v>-19.036745633104672</c:v>
                </c:pt>
                <c:pt idx="102">
                  <c:v>-19.043704798532389</c:v>
                </c:pt>
                <c:pt idx="103">
                  <c:v>-19.051259870429529</c:v>
                </c:pt>
                <c:pt idx="104">
                  <c:v>-19.059408547448008</c:v>
                </c:pt>
                <c:pt idx="105">
                  <c:v>-19.068148347421864</c:v>
                </c:pt>
                <c:pt idx="106">
                  <c:v>-19.077476608123362</c:v>
                </c:pt>
                <c:pt idx="107">
                  <c:v>-19.087390488073929</c:v>
                </c:pt>
                <c:pt idx="108">
                  <c:v>-19.097886967409693</c:v>
                </c:pt>
                <c:pt idx="109">
                  <c:v>-19.108962848801365</c:v>
                </c:pt>
                <c:pt idx="110">
                  <c:v>-19.120614758428182</c:v>
                </c:pt>
                <c:pt idx="111">
                  <c:v>-19.132839147005598</c:v>
                </c:pt>
                <c:pt idx="112">
                  <c:v>-19.145632290866423</c:v>
                </c:pt>
                <c:pt idx="113">
                  <c:v>-19.158990293095119</c:v>
                </c:pt>
                <c:pt idx="114">
                  <c:v>-19.172909084714799</c:v>
                </c:pt>
                <c:pt idx="115">
                  <c:v>-19.187384425926702</c:v>
                </c:pt>
                <c:pt idx="116">
                  <c:v>-19.202411907401665</c:v>
                </c:pt>
                <c:pt idx="117">
                  <c:v>-19.217986951623264</c:v>
                </c:pt>
                <c:pt idx="118">
                  <c:v>-19.234104814282144</c:v>
                </c:pt>
                <c:pt idx="119">
                  <c:v>-19.25076058572121</c:v>
                </c:pt>
                <c:pt idx="120">
                  <c:v>-19.267949192431121</c:v>
                </c:pt>
                <c:pt idx="121">
                  <c:v>-19.285665398595775</c:v>
                </c:pt>
                <c:pt idx="122">
                  <c:v>-19.303903807687149</c:v>
                </c:pt>
                <c:pt idx="123">
                  <c:v>-19.322658864109151</c:v>
                </c:pt>
                <c:pt idx="124">
                  <c:v>-19.341924854889918</c:v>
                </c:pt>
                <c:pt idx="125">
                  <c:v>-19.361695911422014</c:v>
                </c:pt>
                <c:pt idx="126">
                  <c:v>-19.381966011250107</c:v>
                </c:pt>
                <c:pt idx="127">
                  <c:v>-19.402728979905415</c:v>
                </c:pt>
                <c:pt idx="128">
                  <c:v>-19.423978492786556</c:v>
                </c:pt>
                <c:pt idx="129">
                  <c:v>-19.445708077086056</c:v>
                </c:pt>
                <c:pt idx="130">
                  <c:v>-19.467911113762042</c:v>
                </c:pt>
                <c:pt idx="131">
                  <c:v>-19.490580839554454</c:v>
                </c:pt>
                <c:pt idx="132">
                  <c:v>-19.513710349045212</c:v>
                </c:pt>
                <c:pt idx="133">
                  <c:v>-19.53729259676166</c:v>
                </c:pt>
                <c:pt idx="134">
                  <c:v>-19.561320399322696</c:v>
                </c:pt>
                <c:pt idx="135">
                  <c:v>-19.585786437626904</c:v>
                </c:pt>
                <c:pt idx="136">
                  <c:v>-19.610683259082005</c:v>
                </c:pt>
                <c:pt idx="137">
                  <c:v>-19.636003279875002</c:v>
                </c:pt>
                <c:pt idx="138">
                  <c:v>-19.661738787282285</c:v>
                </c:pt>
                <c:pt idx="139">
                  <c:v>-19.687881942018986</c:v>
                </c:pt>
                <c:pt idx="140">
                  <c:v>-19.714424780626921</c:v>
                </c:pt>
                <c:pt idx="141">
                  <c:v>-19.741359217900325</c:v>
                </c:pt>
                <c:pt idx="142">
                  <c:v>-19.768677049348682</c:v>
                </c:pt>
                <c:pt idx="143">
                  <c:v>-19.796369953695901</c:v>
                </c:pt>
                <c:pt idx="144">
                  <c:v>-19.824429495415053</c:v>
                </c:pt>
                <c:pt idx="145">
                  <c:v>-19.85284712729791</c:v>
                </c:pt>
                <c:pt idx="146">
                  <c:v>-19.881614193058507</c:v>
                </c:pt>
                <c:pt idx="147">
                  <c:v>-19.910721929969945</c:v>
                </c:pt>
                <c:pt idx="148">
                  <c:v>-19.940161471533589</c:v>
                </c:pt>
                <c:pt idx="149">
                  <c:v>-19.969923850179892</c:v>
                </c:pt>
                <c:pt idx="150">
                  <c:v>-20</c:v>
                </c:pt>
                <c:pt idx="151">
                  <c:v>-20.030380759507327</c:v>
                </c:pt>
                <c:pt idx="152">
                  <c:v>-20.061056874428218</c:v>
                </c:pt>
                <c:pt idx="153">
                  <c:v>-20.092019000520907</c:v>
                </c:pt>
                <c:pt idx="154">
                  <c:v>-20.123257706421846</c:v>
                </c:pt>
                <c:pt idx="155">
                  <c:v>-20.1547634765186</c:v>
                </c:pt>
                <c:pt idx="156">
                  <c:v>-20.186526713848401</c:v>
                </c:pt>
                <c:pt idx="157">
                  <c:v>-20.218537743021454</c:v>
                </c:pt>
                <c:pt idx="158">
                  <c:v>-20.250786813168176</c:v>
                </c:pt>
                <c:pt idx="159">
                  <c:v>-20.283264100909399</c:v>
                </c:pt>
                <c:pt idx="160">
                  <c:v>-20.315959713348661</c:v>
                </c:pt>
                <c:pt idx="161">
                  <c:v>-20.348863691085686</c:v>
                </c:pt>
                <c:pt idx="162">
                  <c:v>-20.381966011250103</c:v>
                </c:pt>
                <c:pt idx="163">
                  <c:v>-20.415256590554527</c:v>
                </c:pt>
                <c:pt idx="164">
                  <c:v>-20.448725288366003</c:v>
                </c:pt>
                <c:pt idx="165">
                  <c:v>-20.482361909794957</c:v>
                </c:pt>
                <c:pt idx="166">
                  <c:v>-20.516156208800666</c:v>
                </c:pt>
                <c:pt idx="167">
                  <c:v>-20.550097891312269</c:v>
                </c:pt>
                <c:pt idx="168">
                  <c:v>-20.584176618364481</c:v>
                </c:pt>
                <c:pt idx="169">
                  <c:v>-20.618382009246911</c:v>
                </c:pt>
                <c:pt idx="170">
                  <c:v>-20.65270364466614</c:v>
                </c:pt>
                <c:pt idx="171">
                  <c:v>-20.687131069919538</c:v>
                </c:pt>
                <c:pt idx="172">
                  <c:v>-20.721653798079871</c:v>
                </c:pt>
                <c:pt idx="173">
                  <c:v>-20.756261313189704</c:v>
                </c:pt>
                <c:pt idx="174">
                  <c:v>-20.790943073464693</c:v>
                </c:pt>
                <c:pt idx="175">
                  <c:v>-20.825688514504684</c:v>
                </c:pt>
                <c:pt idx="176">
                  <c:v>-20.860487052511751</c:v>
                </c:pt>
                <c:pt idx="177">
                  <c:v>-20.895328087514113</c:v>
                </c:pt>
                <c:pt idx="178">
                  <c:v>-20.930201006594999</c:v>
                </c:pt>
                <c:pt idx="179">
                  <c:v>-20.965095187125431</c:v>
                </c:pt>
                <c:pt idx="180">
                  <c:v>-21</c:v>
                </c:pt>
                <c:pt idx="181">
                  <c:v>-21.034904812874565</c:v>
                </c:pt>
                <c:pt idx="182">
                  <c:v>-21.069798993405001</c:v>
                </c:pt>
                <c:pt idx="183">
                  <c:v>-21.104671912485887</c:v>
                </c:pt>
                <c:pt idx="184">
                  <c:v>-21.139512947488249</c:v>
                </c:pt>
                <c:pt idx="185">
                  <c:v>-21.174311485495316</c:v>
                </c:pt>
                <c:pt idx="186">
                  <c:v>-21.209056926535307</c:v>
                </c:pt>
                <c:pt idx="187">
                  <c:v>-21.243738686810296</c:v>
                </c:pt>
                <c:pt idx="188">
                  <c:v>-21.278346201920129</c:v>
                </c:pt>
                <c:pt idx="189">
                  <c:v>-21.312868930080462</c:v>
                </c:pt>
                <c:pt idx="190">
                  <c:v>-21.34729635533386</c:v>
                </c:pt>
                <c:pt idx="191">
                  <c:v>-21.381617990753089</c:v>
                </c:pt>
                <c:pt idx="192">
                  <c:v>-21.415823381635519</c:v>
                </c:pt>
                <c:pt idx="193">
                  <c:v>-21.449902108687731</c:v>
                </c:pt>
                <c:pt idx="194">
                  <c:v>-21.483843791199334</c:v>
                </c:pt>
                <c:pt idx="195">
                  <c:v>-21.51763809020504</c:v>
                </c:pt>
                <c:pt idx="196">
                  <c:v>-21.551274711633997</c:v>
                </c:pt>
                <c:pt idx="197">
                  <c:v>-21.584743409445473</c:v>
                </c:pt>
                <c:pt idx="198">
                  <c:v>-21.618033988749897</c:v>
                </c:pt>
                <c:pt idx="199">
                  <c:v>-21.651136308914314</c:v>
                </c:pt>
                <c:pt idx="200">
                  <c:v>-21.684040286651339</c:v>
                </c:pt>
                <c:pt idx="201">
                  <c:v>-21.716735899090601</c:v>
                </c:pt>
                <c:pt idx="202">
                  <c:v>-21.749213186831824</c:v>
                </c:pt>
                <c:pt idx="203">
                  <c:v>-21.781462256978546</c:v>
                </c:pt>
                <c:pt idx="204">
                  <c:v>-21.813473286151599</c:v>
                </c:pt>
                <c:pt idx="205">
                  <c:v>-21.845236523481397</c:v>
                </c:pt>
                <c:pt idx="206">
                  <c:v>-21.876742293578154</c:v>
                </c:pt>
                <c:pt idx="207">
                  <c:v>-21.907980999479093</c:v>
                </c:pt>
                <c:pt idx="208">
                  <c:v>-21.938943125571782</c:v>
                </c:pt>
                <c:pt idx="209">
                  <c:v>-21.969619240492676</c:v>
                </c:pt>
                <c:pt idx="210">
                  <c:v>-22</c:v>
                </c:pt>
                <c:pt idx="211">
                  <c:v>-22.030076149820108</c:v>
                </c:pt>
                <c:pt idx="212">
                  <c:v>-22.059838528466411</c:v>
                </c:pt>
                <c:pt idx="213">
                  <c:v>-22.089278070030055</c:v>
                </c:pt>
                <c:pt idx="214">
                  <c:v>-22.118385806941493</c:v>
                </c:pt>
                <c:pt idx="215">
                  <c:v>-22.14715287270209</c:v>
                </c:pt>
                <c:pt idx="216">
                  <c:v>-22.175570504584947</c:v>
                </c:pt>
                <c:pt idx="217">
                  <c:v>-22.203630046304095</c:v>
                </c:pt>
                <c:pt idx="218">
                  <c:v>-22.231322950651315</c:v>
                </c:pt>
                <c:pt idx="219">
                  <c:v>-22.258640782099675</c:v>
                </c:pt>
                <c:pt idx="220">
                  <c:v>-22.285575219373079</c:v>
                </c:pt>
                <c:pt idx="221">
                  <c:v>-22.312118057981014</c:v>
                </c:pt>
                <c:pt idx="222">
                  <c:v>-22.338261212717718</c:v>
                </c:pt>
                <c:pt idx="223">
                  <c:v>-22.363996720124998</c:v>
                </c:pt>
                <c:pt idx="224">
                  <c:v>-22.389316740917995</c:v>
                </c:pt>
                <c:pt idx="225">
                  <c:v>-22.414213562373096</c:v>
                </c:pt>
                <c:pt idx="226">
                  <c:v>-22.4386796006773</c:v>
                </c:pt>
                <c:pt idx="227">
                  <c:v>-22.46270740323834</c:v>
                </c:pt>
                <c:pt idx="228">
                  <c:v>-22.486289650954788</c:v>
                </c:pt>
                <c:pt idx="229">
                  <c:v>-22.509419160445542</c:v>
                </c:pt>
                <c:pt idx="230">
                  <c:v>-22.532088886237958</c:v>
                </c:pt>
                <c:pt idx="231">
                  <c:v>-22.554291922913944</c:v>
                </c:pt>
                <c:pt idx="232">
                  <c:v>-22.576021507213444</c:v>
                </c:pt>
                <c:pt idx="233">
                  <c:v>-22.597271020094585</c:v>
                </c:pt>
                <c:pt idx="234">
                  <c:v>-22.618033988749893</c:v>
                </c:pt>
                <c:pt idx="235">
                  <c:v>-22.638304088577982</c:v>
                </c:pt>
                <c:pt idx="236">
                  <c:v>-22.658075145110082</c:v>
                </c:pt>
                <c:pt idx="237">
                  <c:v>-22.677341135890849</c:v>
                </c:pt>
                <c:pt idx="238">
                  <c:v>-22.696096192312851</c:v>
                </c:pt>
                <c:pt idx="239">
                  <c:v>-22.714334601404225</c:v>
                </c:pt>
                <c:pt idx="240">
                  <c:v>-22.732050807568875</c:v>
                </c:pt>
                <c:pt idx="241">
                  <c:v>-22.74923941427879</c:v>
                </c:pt>
                <c:pt idx="242">
                  <c:v>-22.765895185717852</c:v>
                </c:pt>
                <c:pt idx="243">
                  <c:v>-22.782013048376736</c:v>
                </c:pt>
                <c:pt idx="244">
                  <c:v>-22.797588092598332</c:v>
                </c:pt>
                <c:pt idx="245">
                  <c:v>-22.812615574073298</c:v>
                </c:pt>
                <c:pt idx="246">
                  <c:v>-22.827090915285201</c:v>
                </c:pt>
                <c:pt idx="247">
                  <c:v>-22.841009706904881</c:v>
                </c:pt>
                <c:pt idx="248">
                  <c:v>-22.854367709133573</c:v>
                </c:pt>
                <c:pt idx="249">
                  <c:v>-22.867160852994402</c:v>
                </c:pt>
                <c:pt idx="250">
                  <c:v>-22.879385241571818</c:v>
                </c:pt>
                <c:pt idx="251">
                  <c:v>-22.891037151198635</c:v>
                </c:pt>
                <c:pt idx="252">
                  <c:v>-22.902113032590307</c:v>
                </c:pt>
                <c:pt idx="253">
                  <c:v>-22.912609511926071</c:v>
                </c:pt>
                <c:pt idx="254">
                  <c:v>-22.922523391876638</c:v>
                </c:pt>
                <c:pt idx="255">
                  <c:v>-22.931851652578136</c:v>
                </c:pt>
                <c:pt idx="256">
                  <c:v>-22.940591452551992</c:v>
                </c:pt>
                <c:pt idx="257">
                  <c:v>-22.948740129570471</c:v>
                </c:pt>
                <c:pt idx="258">
                  <c:v>-22.956295201467611</c:v>
                </c:pt>
                <c:pt idx="259">
                  <c:v>-22.963254366895328</c:v>
                </c:pt>
                <c:pt idx="260">
                  <c:v>-22.969615506024414</c:v>
                </c:pt>
                <c:pt idx="261">
                  <c:v>-22.975376681190276</c:v>
                </c:pt>
                <c:pt idx="262">
                  <c:v>-22.980536137483142</c:v>
                </c:pt>
                <c:pt idx="263">
                  <c:v>-22.985092303282645</c:v>
                </c:pt>
                <c:pt idx="264">
                  <c:v>-22.989043790736545</c:v>
                </c:pt>
                <c:pt idx="265">
                  <c:v>-22.992389396183491</c:v>
                </c:pt>
                <c:pt idx="266">
                  <c:v>-22.995128100519647</c:v>
                </c:pt>
                <c:pt idx="267">
                  <c:v>-22.997259069509148</c:v>
                </c:pt>
                <c:pt idx="268">
                  <c:v>-22.99878165403819</c:v>
                </c:pt>
                <c:pt idx="269">
                  <c:v>-22.999695390312784</c:v>
                </c:pt>
                <c:pt idx="270">
                  <c:v>-23</c:v>
                </c:pt>
                <c:pt idx="271">
                  <c:v>-22.999695390312784</c:v>
                </c:pt>
                <c:pt idx="272">
                  <c:v>-22.99878165403819</c:v>
                </c:pt>
                <c:pt idx="273">
                  <c:v>-22.997259069509148</c:v>
                </c:pt>
                <c:pt idx="274">
                  <c:v>-22.995128100519647</c:v>
                </c:pt>
                <c:pt idx="275">
                  <c:v>-22.992389396183491</c:v>
                </c:pt>
                <c:pt idx="276">
                  <c:v>-22.989043790736545</c:v>
                </c:pt>
                <c:pt idx="277">
                  <c:v>-22.985092303282645</c:v>
                </c:pt>
                <c:pt idx="278">
                  <c:v>-22.980536137483142</c:v>
                </c:pt>
                <c:pt idx="279">
                  <c:v>-22.975376681190276</c:v>
                </c:pt>
                <c:pt idx="280">
                  <c:v>-22.969615506024418</c:v>
                </c:pt>
                <c:pt idx="281">
                  <c:v>-22.963254366895328</c:v>
                </c:pt>
                <c:pt idx="282">
                  <c:v>-22.956295201467611</c:v>
                </c:pt>
                <c:pt idx="283">
                  <c:v>-22.948740129570471</c:v>
                </c:pt>
                <c:pt idx="284">
                  <c:v>-22.940591452551992</c:v>
                </c:pt>
                <c:pt idx="285">
                  <c:v>-22.931851652578136</c:v>
                </c:pt>
                <c:pt idx="286">
                  <c:v>-22.922523391876638</c:v>
                </c:pt>
                <c:pt idx="287">
                  <c:v>-22.912609511926071</c:v>
                </c:pt>
                <c:pt idx="288">
                  <c:v>-22.902113032590307</c:v>
                </c:pt>
                <c:pt idx="289">
                  <c:v>-22.891037151198635</c:v>
                </c:pt>
                <c:pt idx="290">
                  <c:v>-22.879385241571818</c:v>
                </c:pt>
                <c:pt idx="291">
                  <c:v>-22.867160852994402</c:v>
                </c:pt>
                <c:pt idx="292">
                  <c:v>-22.854367709133577</c:v>
                </c:pt>
                <c:pt idx="293">
                  <c:v>-22.841009706904881</c:v>
                </c:pt>
                <c:pt idx="294">
                  <c:v>-22.827090915285201</c:v>
                </c:pt>
                <c:pt idx="295">
                  <c:v>-22.812615574073302</c:v>
                </c:pt>
                <c:pt idx="296">
                  <c:v>-22.797588092598335</c:v>
                </c:pt>
                <c:pt idx="297">
                  <c:v>-22.782013048376736</c:v>
                </c:pt>
                <c:pt idx="298">
                  <c:v>-22.765895185717856</c:v>
                </c:pt>
                <c:pt idx="299">
                  <c:v>-22.74923941427879</c:v>
                </c:pt>
                <c:pt idx="300">
                  <c:v>-22.732050807568879</c:v>
                </c:pt>
                <c:pt idx="301">
                  <c:v>-22.714334601404225</c:v>
                </c:pt>
                <c:pt idx="302">
                  <c:v>-22.696096192312851</c:v>
                </c:pt>
                <c:pt idx="303">
                  <c:v>-22.677341135890849</c:v>
                </c:pt>
                <c:pt idx="304">
                  <c:v>-22.658075145110082</c:v>
                </c:pt>
                <c:pt idx="305">
                  <c:v>-22.638304088577982</c:v>
                </c:pt>
                <c:pt idx="306">
                  <c:v>-22.618033988749897</c:v>
                </c:pt>
                <c:pt idx="307">
                  <c:v>-22.597271020094585</c:v>
                </c:pt>
                <c:pt idx="308">
                  <c:v>-22.576021507213444</c:v>
                </c:pt>
                <c:pt idx="309">
                  <c:v>-22.554291922913944</c:v>
                </c:pt>
                <c:pt idx="310">
                  <c:v>-22.532088886237958</c:v>
                </c:pt>
                <c:pt idx="311">
                  <c:v>-22.509419160445546</c:v>
                </c:pt>
                <c:pt idx="312">
                  <c:v>-22.486289650954788</c:v>
                </c:pt>
                <c:pt idx="313">
                  <c:v>-22.46270740323834</c:v>
                </c:pt>
                <c:pt idx="314">
                  <c:v>-22.438679600677304</c:v>
                </c:pt>
                <c:pt idx="315">
                  <c:v>-22.414213562373096</c:v>
                </c:pt>
                <c:pt idx="316">
                  <c:v>-22.389316740917995</c:v>
                </c:pt>
                <c:pt idx="317">
                  <c:v>-22.363996720124998</c:v>
                </c:pt>
                <c:pt idx="318">
                  <c:v>-22.338261212717718</c:v>
                </c:pt>
                <c:pt idx="319">
                  <c:v>-22.312118057981014</c:v>
                </c:pt>
                <c:pt idx="320">
                  <c:v>-22.285575219373079</c:v>
                </c:pt>
                <c:pt idx="321">
                  <c:v>-22.258640782099675</c:v>
                </c:pt>
                <c:pt idx="322">
                  <c:v>-22.231322950651318</c:v>
                </c:pt>
                <c:pt idx="323">
                  <c:v>-22.203630046304095</c:v>
                </c:pt>
                <c:pt idx="324">
                  <c:v>-22.175570504584947</c:v>
                </c:pt>
                <c:pt idx="325">
                  <c:v>-22.147152872702094</c:v>
                </c:pt>
                <c:pt idx="326">
                  <c:v>-22.118385806941493</c:v>
                </c:pt>
                <c:pt idx="327">
                  <c:v>-22.089278070030055</c:v>
                </c:pt>
                <c:pt idx="328">
                  <c:v>-22.059838528466411</c:v>
                </c:pt>
                <c:pt idx="329">
                  <c:v>-22.030076149820108</c:v>
                </c:pt>
                <c:pt idx="330">
                  <c:v>-22</c:v>
                </c:pt>
                <c:pt idx="331">
                  <c:v>-21.969619240492676</c:v>
                </c:pt>
                <c:pt idx="332">
                  <c:v>-21.938943125571782</c:v>
                </c:pt>
                <c:pt idx="333">
                  <c:v>-21.907980999479093</c:v>
                </c:pt>
                <c:pt idx="334">
                  <c:v>-21.876742293578154</c:v>
                </c:pt>
                <c:pt idx="335">
                  <c:v>-21.845236523481397</c:v>
                </c:pt>
                <c:pt idx="336">
                  <c:v>-21.813473286151599</c:v>
                </c:pt>
                <c:pt idx="337">
                  <c:v>-21.781462256978546</c:v>
                </c:pt>
                <c:pt idx="338">
                  <c:v>-21.749213186831824</c:v>
                </c:pt>
                <c:pt idx="339">
                  <c:v>-21.716735899090601</c:v>
                </c:pt>
                <c:pt idx="340">
                  <c:v>-21.684040286651339</c:v>
                </c:pt>
                <c:pt idx="341">
                  <c:v>-21.651136308914314</c:v>
                </c:pt>
                <c:pt idx="342">
                  <c:v>-21.618033988749897</c:v>
                </c:pt>
                <c:pt idx="343">
                  <c:v>-21.584743409445473</c:v>
                </c:pt>
                <c:pt idx="344">
                  <c:v>-21.551274711633997</c:v>
                </c:pt>
                <c:pt idx="345">
                  <c:v>-21.51763809020504</c:v>
                </c:pt>
                <c:pt idx="346">
                  <c:v>-21.483843791199337</c:v>
                </c:pt>
                <c:pt idx="347">
                  <c:v>-21.449902108687731</c:v>
                </c:pt>
                <c:pt idx="348">
                  <c:v>-21.415823381635519</c:v>
                </c:pt>
                <c:pt idx="349">
                  <c:v>-21.381617990753089</c:v>
                </c:pt>
                <c:pt idx="350">
                  <c:v>-21.34729635533386</c:v>
                </c:pt>
                <c:pt idx="351">
                  <c:v>-21.312868930080462</c:v>
                </c:pt>
                <c:pt idx="352">
                  <c:v>-21.278346201920133</c:v>
                </c:pt>
                <c:pt idx="353">
                  <c:v>-21.243738686810296</c:v>
                </c:pt>
                <c:pt idx="354">
                  <c:v>-21.209056926535307</c:v>
                </c:pt>
                <c:pt idx="355">
                  <c:v>-21.174311485495316</c:v>
                </c:pt>
                <c:pt idx="356">
                  <c:v>-21.139512947488249</c:v>
                </c:pt>
                <c:pt idx="357">
                  <c:v>-21.104671912485887</c:v>
                </c:pt>
                <c:pt idx="358">
                  <c:v>-21.069798993405001</c:v>
                </c:pt>
                <c:pt idx="359">
                  <c:v>-21.034904812874569</c:v>
                </c:pt>
                <c:pt idx="360">
                  <c:v>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AE-442A-B122-CF9F4E2E7471}"/>
            </c:ext>
          </c:extLst>
        </c:ser>
        <c:ser>
          <c:idx val="1"/>
          <c:order val="1"/>
          <c:tx>
            <c:v>Eyebox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layout!$D$3:$D$7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-8</c:v>
                </c:pt>
                <c:pt idx="3">
                  <c:v>-8</c:v>
                </c:pt>
                <c:pt idx="4">
                  <c:v>8</c:v>
                </c:pt>
              </c:numCache>
            </c:numRef>
          </c:xVal>
          <c:yVal>
            <c:numRef>
              <c:f>layout!$E$3:$E$7</c:f>
              <c:numCache>
                <c:formatCode>General</c:formatCode>
                <c:ptCount val="5"/>
                <c:pt idx="0">
                  <c:v>6</c:v>
                </c:pt>
                <c:pt idx="1">
                  <c:v>-6</c:v>
                </c:pt>
                <c:pt idx="2">
                  <c:v>-6</c:v>
                </c:pt>
                <c:pt idx="3">
                  <c:v>6</c:v>
                </c:pt>
                <c:pt idx="4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AE-442A-B122-CF9F4E2E7471}"/>
            </c:ext>
          </c:extLst>
        </c:ser>
        <c:ser>
          <c:idx val="2"/>
          <c:order val="2"/>
          <c:tx>
            <c:v>OC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layout!$F$7:$F$11</c:f>
              <c:numCache>
                <c:formatCode>General</c:formatCode>
                <c:ptCount val="5"/>
                <c:pt idx="0">
                  <c:v>12.729481833184753</c:v>
                </c:pt>
                <c:pt idx="1">
                  <c:v>12.729481833184753</c:v>
                </c:pt>
                <c:pt idx="2">
                  <c:v>-12.729481833184753</c:v>
                </c:pt>
                <c:pt idx="3">
                  <c:v>-12.729481833184753</c:v>
                </c:pt>
                <c:pt idx="4">
                  <c:v>12.729481833184753</c:v>
                </c:pt>
              </c:numCache>
            </c:numRef>
          </c:xVal>
          <c:yVal>
            <c:numRef>
              <c:f>layout!$G$7:$G$11</c:f>
              <c:numCache>
                <c:formatCode>General</c:formatCode>
                <c:ptCount val="5"/>
                <c:pt idx="0">
                  <c:v>8.6449047106269745</c:v>
                </c:pt>
                <c:pt idx="1">
                  <c:v>-8.6449047106269745</c:v>
                </c:pt>
                <c:pt idx="2">
                  <c:v>-8.6449047106269745</c:v>
                </c:pt>
                <c:pt idx="3">
                  <c:v>8.6449047106269745</c:v>
                </c:pt>
                <c:pt idx="4">
                  <c:v>8.6449047106269745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AE-442A-B122-CF9F4E2E7471}"/>
            </c:ext>
          </c:extLst>
        </c:ser>
        <c:ser>
          <c:idx val="3"/>
          <c:order val="3"/>
          <c:tx>
            <c:v>EG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layout!$AG$2:$AG$6</c:f>
              <c:numCache>
                <c:formatCode>General</c:formatCode>
                <c:ptCount val="5"/>
                <c:pt idx="0">
                  <c:v>21.692930342495533</c:v>
                </c:pt>
                <c:pt idx="1">
                  <c:v>18.984835010126233</c:v>
                </c:pt>
                <c:pt idx="2">
                  <c:v>-17.446902593484293</c:v>
                </c:pt>
                <c:pt idx="3">
                  <c:v>-23.605147173358045</c:v>
                </c:pt>
                <c:pt idx="4">
                  <c:v>21.692930342495533</c:v>
                </c:pt>
              </c:numCache>
            </c:numRef>
          </c:xVal>
          <c:yVal>
            <c:numRef>
              <c:f>layout!$AH$2:$AH$6</c:f>
              <c:numCache>
                <c:formatCode>General</c:formatCode>
                <c:ptCount val="5"/>
                <c:pt idx="0">
                  <c:v>-26.014779923203928</c:v>
                </c:pt>
                <c:pt idx="1">
                  <c:v>-15.543170689238844</c:v>
                </c:pt>
                <c:pt idx="2">
                  <c:v>-9.5963241721215322</c:v>
                </c:pt>
                <c:pt idx="3">
                  <c:v>-33.408901977941376</c:v>
                </c:pt>
                <c:pt idx="4">
                  <c:v>-26.014779923203928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42-4FCA-AD65-EC7276BC0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470239"/>
        <c:axId val="604470719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Points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layout!$I$17:$I$48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21.692930342495533</c:v>
                      </c:pt>
                      <c:pt idx="1">
                        <c:v>17.402668587476356</c:v>
                      </c:pt>
                      <c:pt idx="2">
                        <c:v>-7.0250992455942374</c:v>
                      </c:pt>
                      <c:pt idx="3">
                        <c:v>-2.7348374905750625</c:v>
                      </c:pt>
                      <c:pt idx="4">
                        <c:v>2.9759115269816085</c:v>
                      </c:pt>
                      <c:pt idx="5">
                        <c:v>7.6443568933076573</c:v>
                      </c:pt>
                      <c:pt idx="6">
                        <c:v>-18.936701807031998</c:v>
                      </c:pt>
                      <c:pt idx="7">
                        <c:v>-23.605147173358045</c:v>
                      </c:pt>
                      <c:pt idx="8">
                        <c:v>20.6872413498056</c:v>
                      </c:pt>
                      <c:pt idx="9">
                        <c:v>16.396979594786426</c:v>
                      </c:pt>
                      <c:pt idx="10">
                        <c:v>-8.0307882382841669</c:v>
                      </c:pt>
                      <c:pt idx="11">
                        <c:v>-3.7405264832649912</c:v>
                      </c:pt>
                      <c:pt idx="12">
                        <c:v>4.0702513099553927</c:v>
                      </c:pt>
                      <c:pt idx="13">
                        <c:v>8.7386966762814406</c:v>
                      </c:pt>
                      <c:pt idx="14">
                        <c:v>-17.842362024058211</c:v>
                      </c:pt>
                      <c:pt idx="15">
                        <c:v>-22.510807390384262</c:v>
                      </c:pt>
                      <c:pt idx="16">
                        <c:v>20.07917479310002</c:v>
                      </c:pt>
                      <c:pt idx="17">
                        <c:v>15.410729426773969</c:v>
                      </c:pt>
                      <c:pt idx="18">
                        <c:v>-11.170329273565681</c:v>
                      </c:pt>
                      <c:pt idx="19">
                        <c:v>-6.5018839072396331</c:v>
                      </c:pt>
                      <c:pt idx="20">
                        <c:v>5.9751762468963729</c:v>
                      </c:pt>
                      <c:pt idx="21">
                        <c:v>10.265438001915546</c:v>
                      </c:pt>
                      <c:pt idx="22">
                        <c:v>-14.162329831155045</c:v>
                      </c:pt>
                      <c:pt idx="23">
                        <c:v>-18.452591586174222</c:v>
                      </c:pt>
                      <c:pt idx="24">
                        <c:v>18.984835010126233</c:v>
                      </c:pt>
                      <c:pt idx="25">
                        <c:v>14.316389643800186</c:v>
                      </c:pt>
                      <c:pt idx="26">
                        <c:v>-12.264669056539464</c:v>
                      </c:pt>
                      <c:pt idx="27">
                        <c:v>-7.5962236902134173</c:v>
                      </c:pt>
                      <c:pt idx="28">
                        <c:v>6.9808652395863016</c:v>
                      </c:pt>
                      <c:pt idx="29">
                        <c:v>11.271126994605478</c:v>
                      </c:pt>
                      <c:pt idx="30">
                        <c:v>-13.156640838465115</c:v>
                      </c:pt>
                      <c:pt idx="31">
                        <c:v>-17.446902593484293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layout!$J$17:$J$48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-26.014779923203928</c:v>
                      </c:pt>
                      <c:pt idx="1">
                        <c:v>-26.71509041766766</c:v>
                      </c:pt>
                      <c:pt idx="2">
                        <c:v>-30.702497980809799</c:v>
                      </c:pt>
                      <c:pt idx="3">
                        <c:v>-30.002187486346067</c:v>
                      </c:pt>
                      <c:pt idx="4">
                        <c:v>-29.070007191387461</c:v>
                      </c:pt>
                      <c:pt idx="5">
                        <c:v>-28.30796481039663</c:v>
                      </c:pt>
                      <c:pt idx="6">
                        <c:v>-32.646859596950549</c:v>
                      </c:pt>
                      <c:pt idx="7">
                        <c:v>-33.408901977941376</c:v>
                      </c:pt>
                      <c:pt idx="8">
                        <c:v>-22.126001704626503</c:v>
                      </c:pt>
                      <c:pt idx="9">
                        <c:v>-22.826312199090236</c:v>
                      </c:pt>
                      <c:pt idx="10">
                        <c:v>-26.813719762232374</c:v>
                      </c:pt>
                      <c:pt idx="11">
                        <c:v>-26.113409267768642</c:v>
                      </c:pt>
                      <c:pt idx="12">
                        <c:v>-24.838435858018713</c:v>
                      </c:pt>
                      <c:pt idx="13">
                        <c:v>-24.076393477027882</c:v>
                      </c:pt>
                      <c:pt idx="14">
                        <c:v>-28.415288263581797</c:v>
                      </c:pt>
                      <c:pt idx="15">
                        <c:v>-29.177330644572628</c:v>
                      </c:pt>
                      <c:pt idx="16">
                        <c:v>-19.77474202260759</c:v>
                      </c:pt>
                      <c:pt idx="17">
                        <c:v>-19.012699641616756</c:v>
                      </c:pt>
                      <c:pt idx="18">
                        <c:v>-14.673804855062853</c:v>
                      </c:pt>
                      <c:pt idx="19">
                        <c:v>-15.435847236053682</c:v>
                      </c:pt>
                      <c:pt idx="20">
                        <c:v>-17.472509953841083</c:v>
                      </c:pt>
                      <c:pt idx="21">
                        <c:v>-18.172820448304815</c:v>
                      </c:pt>
                      <c:pt idx="22">
                        <c:v>-14.185412885162684</c:v>
                      </c:pt>
                      <c:pt idx="23">
                        <c:v>-13.485102390698954</c:v>
                      </c:pt>
                      <c:pt idx="24">
                        <c:v>-15.543170689238844</c:v>
                      </c:pt>
                      <c:pt idx="25">
                        <c:v>-14.781128308248014</c:v>
                      </c:pt>
                      <c:pt idx="26">
                        <c:v>-10.442233521694106</c:v>
                      </c:pt>
                      <c:pt idx="27">
                        <c:v>-11.204275902684937</c:v>
                      </c:pt>
                      <c:pt idx="28">
                        <c:v>-13.583731735263662</c:v>
                      </c:pt>
                      <c:pt idx="29">
                        <c:v>-14.284042229727394</c:v>
                      </c:pt>
                      <c:pt idx="30">
                        <c:v>-10.296634666585264</c:v>
                      </c:pt>
                      <c:pt idx="31">
                        <c:v>-9.5963241721215322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7842-4FCA-AD65-EC7276BC09C2}"/>
                  </c:ext>
                </c:extLst>
              </c15:ser>
            </c15:filteredScatterSeries>
          </c:ext>
        </c:extLst>
      </c:scatterChart>
      <c:valAx>
        <c:axId val="604470239"/>
        <c:scaling>
          <c:orientation val="minMax"/>
          <c:max val="45"/>
          <c:min val="-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4470719"/>
        <c:crosses val="autoZero"/>
        <c:crossBetween val="midCat"/>
      </c:valAx>
      <c:valAx>
        <c:axId val="604470719"/>
        <c:scaling>
          <c:orientation val="minMax"/>
          <c:max val="45"/>
          <c:min val="-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44702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590205265506475"/>
          <c:y val="0.78235573100636635"/>
          <c:w val="0.17851450245426148"/>
          <c:h val="0.197845124527892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Sellmeier!$A$4:$A$94</c:f>
              <c:numCache>
                <c:formatCode>General</c:formatCode>
                <c:ptCount val="91"/>
                <c:pt idx="0">
                  <c:v>0.3</c:v>
                </c:pt>
                <c:pt idx="1">
                  <c:v>0.31</c:v>
                </c:pt>
                <c:pt idx="2">
                  <c:v>0.32</c:v>
                </c:pt>
                <c:pt idx="3">
                  <c:v>0.33</c:v>
                </c:pt>
                <c:pt idx="4">
                  <c:v>0.34</c:v>
                </c:pt>
                <c:pt idx="5">
                  <c:v>0.35</c:v>
                </c:pt>
                <c:pt idx="6">
                  <c:v>0.36</c:v>
                </c:pt>
                <c:pt idx="7">
                  <c:v>0.37</c:v>
                </c:pt>
                <c:pt idx="8">
                  <c:v>0.38</c:v>
                </c:pt>
                <c:pt idx="9">
                  <c:v>0.39</c:v>
                </c:pt>
                <c:pt idx="10">
                  <c:v>0.4</c:v>
                </c:pt>
                <c:pt idx="11">
                  <c:v>0.41</c:v>
                </c:pt>
                <c:pt idx="12">
                  <c:v>0.42</c:v>
                </c:pt>
                <c:pt idx="13">
                  <c:v>0.43</c:v>
                </c:pt>
                <c:pt idx="14">
                  <c:v>0.44</c:v>
                </c:pt>
                <c:pt idx="15">
                  <c:v>0.45</c:v>
                </c:pt>
                <c:pt idx="16">
                  <c:v>0.46</c:v>
                </c:pt>
                <c:pt idx="17">
                  <c:v>0.47</c:v>
                </c:pt>
                <c:pt idx="18">
                  <c:v>0.48</c:v>
                </c:pt>
                <c:pt idx="19">
                  <c:v>0.49</c:v>
                </c:pt>
                <c:pt idx="20">
                  <c:v>0.5</c:v>
                </c:pt>
                <c:pt idx="21">
                  <c:v>0.51</c:v>
                </c:pt>
                <c:pt idx="22">
                  <c:v>0.52</c:v>
                </c:pt>
                <c:pt idx="23">
                  <c:v>0.53</c:v>
                </c:pt>
                <c:pt idx="24">
                  <c:v>0.54</c:v>
                </c:pt>
                <c:pt idx="25">
                  <c:v>0.55000000000000004</c:v>
                </c:pt>
                <c:pt idx="26">
                  <c:v>0.56000000000000005</c:v>
                </c:pt>
                <c:pt idx="27">
                  <c:v>0.56999999999999995</c:v>
                </c:pt>
                <c:pt idx="28">
                  <c:v>0.57999999999999996</c:v>
                </c:pt>
                <c:pt idx="29">
                  <c:v>0.59</c:v>
                </c:pt>
                <c:pt idx="30">
                  <c:v>0.6</c:v>
                </c:pt>
                <c:pt idx="31">
                  <c:v>0.61</c:v>
                </c:pt>
                <c:pt idx="32">
                  <c:v>0.62</c:v>
                </c:pt>
                <c:pt idx="33">
                  <c:v>0.63</c:v>
                </c:pt>
                <c:pt idx="34">
                  <c:v>0.64</c:v>
                </c:pt>
                <c:pt idx="35">
                  <c:v>0.65</c:v>
                </c:pt>
                <c:pt idx="36">
                  <c:v>0.66</c:v>
                </c:pt>
                <c:pt idx="37">
                  <c:v>0.67</c:v>
                </c:pt>
                <c:pt idx="38">
                  <c:v>0.68</c:v>
                </c:pt>
                <c:pt idx="39">
                  <c:v>0.69</c:v>
                </c:pt>
                <c:pt idx="40">
                  <c:v>0.7</c:v>
                </c:pt>
                <c:pt idx="41">
                  <c:v>0.71</c:v>
                </c:pt>
                <c:pt idx="42">
                  <c:v>0.72</c:v>
                </c:pt>
                <c:pt idx="43">
                  <c:v>0.73</c:v>
                </c:pt>
                <c:pt idx="44">
                  <c:v>0.74</c:v>
                </c:pt>
                <c:pt idx="45">
                  <c:v>0.75</c:v>
                </c:pt>
                <c:pt idx="46">
                  <c:v>0.76</c:v>
                </c:pt>
                <c:pt idx="47">
                  <c:v>0.77</c:v>
                </c:pt>
                <c:pt idx="48">
                  <c:v>0.78</c:v>
                </c:pt>
                <c:pt idx="49">
                  <c:v>0.79</c:v>
                </c:pt>
                <c:pt idx="50">
                  <c:v>0.8</c:v>
                </c:pt>
                <c:pt idx="51">
                  <c:v>0.81</c:v>
                </c:pt>
                <c:pt idx="52">
                  <c:v>0.82</c:v>
                </c:pt>
                <c:pt idx="53">
                  <c:v>0.83</c:v>
                </c:pt>
                <c:pt idx="54">
                  <c:v>0.84</c:v>
                </c:pt>
                <c:pt idx="55">
                  <c:v>0.85</c:v>
                </c:pt>
                <c:pt idx="56">
                  <c:v>0.86</c:v>
                </c:pt>
                <c:pt idx="57">
                  <c:v>0.87000000000000099</c:v>
                </c:pt>
                <c:pt idx="58">
                  <c:v>0.880000000000001</c:v>
                </c:pt>
                <c:pt idx="59">
                  <c:v>0.89000000000000101</c:v>
                </c:pt>
                <c:pt idx="60">
                  <c:v>0.90000000000000102</c:v>
                </c:pt>
                <c:pt idx="61">
                  <c:v>0.91000000000000103</c:v>
                </c:pt>
                <c:pt idx="62">
                  <c:v>0.92000000000000104</c:v>
                </c:pt>
                <c:pt idx="63">
                  <c:v>0.93000000000000105</c:v>
                </c:pt>
                <c:pt idx="64">
                  <c:v>0.94000000000000095</c:v>
                </c:pt>
                <c:pt idx="65">
                  <c:v>0.95000000000000095</c:v>
                </c:pt>
                <c:pt idx="66">
                  <c:v>0.96000000000000096</c:v>
                </c:pt>
                <c:pt idx="67">
                  <c:v>0.97000000000000097</c:v>
                </c:pt>
                <c:pt idx="68">
                  <c:v>0.98000000000000098</c:v>
                </c:pt>
                <c:pt idx="69">
                  <c:v>0.99000000000000099</c:v>
                </c:pt>
                <c:pt idx="70">
                  <c:v>1</c:v>
                </c:pt>
                <c:pt idx="71">
                  <c:v>1.01</c:v>
                </c:pt>
                <c:pt idx="72">
                  <c:v>1.02</c:v>
                </c:pt>
                <c:pt idx="73">
                  <c:v>1.03</c:v>
                </c:pt>
                <c:pt idx="74">
                  <c:v>1.04</c:v>
                </c:pt>
                <c:pt idx="75">
                  <c:v>1.05</c:v>
                </c:pt>
                <c:pt idx="76">
                  <c:v>1.0599999999999901</c:v>
                </c:pt>
                <c:pt idx="77">
                  <c:v>1.0699999999999901</c:v>
                </c:pt>
                <c:pt idx="78">
                  <c:v>1.0799999999999901</c:v>
                </c:pt>
                <c:pt idx="79">
                  <c:v>1.0899999999999901</c:v>
                </c:pt>
                <c:pt idx="80">
                  <c:v>1.0999999999999901</c:v>
                </c:pt>
                <c:pt idx="81">
                  <c:v>1.1099999999999901</c:v>
                </c:pt>
                <c:pt idx="82">
                  <c:v>1.1199999999999899</c:v>
                </c:pt>
                <c:pt idx="83">
                  <c:v>1.1299999999999899</c:v>
                </c:pt>
                <c:pt idx="84">
                  <c:v>1.1399999999999899</c:v>
                </c:pt>
                <c:pt idx="85">
                  <c:v>1.1499999999999899</c:v>
                </c:pt>
                <c:pt idx="86">
                  <c:v>1.1599999999999799</c:v>
                </c:pt>
                <c:pt idx="87">
                  <c:v>1.1699999999999799</c:v>
                </c:pt>
                <c:pt idx="88">
                  <c:v>1.17999999999998</c:v>
                </c:pt>
                <c:pt idx="89">
                  <c:v>1.18999999999998</c:v>
                </c:pt>
                <c:pt idx="90">
                  <c:v>1.19999999999998</c:v>
                </c:pt>
              </c:numCache>
            </c:numRef>
          </c:xVal>
          <c:yVal>
            <c:numRef>
              <c:f>Sellmeier!$B$4:$B$94</c:f>
              <c:numCache>
                <c:formatCode>General</c:formatCode>
                <c:ptCount val="91"/>
                <c:pt idx="0">
                  <c:v>2.0884486069222081</c:v>
                </c:pt>
                <c:pt idx="1">
                  <c:v>2.062703229247187</c:v>
                </c:pt>
                <c:pt idx="2">
                  <c:v>2.0422388365135298</c:v>
                </c:pt>
                <c:pt idx="3">
                  <c:v>2.0254958063945372</c:v>
                </c:pt>
                <c:pt idx="4">
                  <c:v>2.0114937296307995</c:v>
                </c:pt>
                <c:pt idx="5">
                  <c:v>1.9995810628478496</c:v>
                </c:pt>
                <c:pt idx="6">
                  <c:v>1.9893052545431686</c:v>
                </c:pt>
                <c:pt idx="7">
                  <c:v>1.9803404959397266</c:v>
                </c:pt>
                <c:pt idx="8">
                  <c:v>1.9724451830380152</c:v>
                </c:pt>
                <c:pt idx="9">
                  <c:v>1.9654356650737013</c:v>
                </c:pt>
                <c:pt idx="10">
                  <c:v>1.9591693880005929</c:v>
                </c:pt>
                <c:pt idx="11">
                  <c:v>1.9535336972424291</c:v>
                </c:pt>
                <c:pt idx="12">
                  <c:v>1.9484381785099745</c:v>
                </c:pt>
                <c:pt idx="13">
                  <c:v>1.9438092831406564</c:v>
                </c:pt>
                <c:pt idx="14">
                  <c:v>1.9395864709124688</c:v>
                </c:pt>
                <c:pt idx="15">
                  <c:v>1.9357193863640714</c:v>
                </c:pt>
                <c:pt idx="16">
                  <c:v>1.932165754847349</c:v>
                </c:pt>
                <c:pt idx="17">
                  <c:v>1.928889789882835</c:v>
                </c:pt>
                <c:pt idx="18">
                  <c:v>1.9258609703126019</c:v>
                </c:pt>
                <c:pt idx="19">
                  <c:v>1.9230530892704434</c:v>
                </c:pt>
                <c:pt idx="20">
                  <c:v>1.9204435059040212</c:v>
                </c:pt>
                <c:pt idx="21">
                  <c:v>1.9180125503670753</c:v>
                </c:pt>
                <c:pt idx="22">
                  <c:v>1.915743046099355</c:v>
                </c:pt>
                <c:pt idx="23">
                  <c:v>1.9136199228693549</c:v>
                </c:pt>
                <c:pt idx="24">
                  <c:v>1.9116299007798572</c:v>
                </c:pt>
                <c:pt idx="25">
                  <c:v>1.909761230284257</c:v>
                </c:pt>
                <c:pt idx="26">
                  <c:v>1.9080034768011864</c:v>
                </c:pt>
                <c:pt idx="27">
                  <c:v>1.9063473411297747</c:v>
                </c:pt>
                <c:pt idx="28">
                  <c:v>1.9047845088208422</c:v>
                </c:pt>
                <c:pt idx="29">
                  <c:v>1.9033075231328791</c:v>
                </c:pt>
                <c:pt idx="30">
                  <c:v>1.9019096773241191</c:v>
                </c:pt>
                <c:pt idx="31">
                  <c:v>1.900584922894677</c:v>
                </c:pt>
                <c:pt idx="32">
                  <c:v>1.8993277910612578</c:v>
                </c:pt>
                <c:pt idx="33">
                  <c:v>1.8981333252691002</c:v>
                </c:pt>
                <c:pt idx="34">
                  <c:v>1.8969970229566731</c:v>
                </c:pt>
                <c:pt idx="35">
                  <c:v>1.8959147851141402</c:v>
                </c:pt>
                <c:pt idx="36">
                  <c:v>1.8948828724361879</c:v>
                </c:pt>
                <c:pt idx="37">
                  <c:v>1.8938978670780902</c:v>
                </c:pt>
                <c:pt idx="38">
                  <c:v>1.8929566391919879</c:v>
                </c:pt>
                <c:pt idx="39">
                  <c:v>1.8920563175567637</c:v>
                </c:pt>
                <c:pt idx="40">
                  <c:v>1.8911942637261958</c:v>
                </c:pt>
                <c:pt idx="41">
                  <c:v>1.8903680492112904</c:v>
                </c:pt>
                <c:pt idx="42">
                  <c:v>1.88957543528786</c:v>
                </c:pt>
                <c:pt idx="43">
                  <c:v>1.8888143550825853</c:v>
                </c:pt>
                <c:pt idx="44">
                  <c:v>1.8880828976424682</c:v>
                </c:pt>
                <c:pt idx="45">
                  <c:v>1.8873792937356877</c:v>
                </c:pt>
                <c:pt idx="46">
                  <c:v>1.8867019031679861</c:v>
                </c:pt>
                <c:pt idx="47">
                  <c:v>1.8860492034290492</c:v>
                </c:pt>
                <c:pt idx="48">
                  <c:v>1.8854197795089684</c:v>
                </c:pt>
                <c:pt idx="49">
                  <c:v>1.8848123147465401</c:v>
                </c:pt>
                <c:pt idx="50">
                  <c:v>1.8842255825895686</c:v>
                </c:pt>
                <c:pt idx="51">
                  <c:v>1.8836584391630304</c:v>
                </c:pt>
                <c:pt idx="52">
                  <c:v>1.8831098165543501</c:v>
                </c:pt>
                <c:pt idx="53">
                  <c:v>1.8825787167365309</c:v>
                </c:pt>
                <c:pt idx="54">
                  <c:v>1.8820642060597479</c:v>
                </c:pt>
                <c:pt idx="55">
                  <c:v>1.881565410250517</c:v>
                </c:pt>
                <c:pt idx="56">
                  <c:v>1.881081509864895</c:v>
                </c:pt>
                <c:pt idx="57">
                  <c:v>1.8806117361485299</c:v>
                </c:pt>
                <c:pt idx="58">
                  <c:v>1.8801553672619011</c:v>
                </c:pt>
                <c:pt idx="59">
                  <c:v>1.8797117248338879</c:v>
                </c:pt>
                <c:pt idx="60">
                  <c:v>1.8792801708109967</c:v>
                </c:pt>
                <c:pt idx="61">
                  <c:v>1.8788601045732365</c:v>
                </c:pt>
                <c:pt idx="62">
                  <c:v>1.8784509602908306</c:v>
                </c:pt>
                <c:pt idx="63">
                  <c:v>1.8780522044987724</c:v>
                </c:pt>
                <c:pt idx="64">
                  <c:v>1.8776633338686939</c:v>
                </c:pt>
                <c:pt idx="65">
                  <c:v>1.8772838731597001</c:v>
                </c:pt>
                <c:pt idx="66">
                  <c:v>1.8769133733317351</c:v>
                </c:pt>
                <c:pt idx="67">
                  <c:v>1.8765514098067502</c:v>
                </c:pt>
                <c:pt idx="68">
                  <c:v>1.8761975808644358</c:v>
                </c:pt>
                <c:pt idx="69">
                  <c:v>1.8758515061606256</c:v>
                </c:pt>
                <c:pt idx="70">
                  <c:v>1.8755128253576487</c:v>
                </c:pt>
                <c:pt idx="71">
                  <c:v>1.8751811968569696</c:v>
                </c:pt>
                <c:pt idx="72">
                  <c:v>1.8748562966253919</c:v>
                </c:pt>
                <c:pt idx="73">
                  <c:v>1.8745378171069302</c:v>
                </c:pt>
                <c:pt idx="74">
                  <c:v>1.8742254662132174</c:v>
                </c:pt>
                <c:pt idx="75">
                  <c:v>1.8739189663859652</c:v>
                </c:pt>
                <c:pt idx="76">
                  <c:v>1.8736180537256155</c:v>
                </c:pt>
                <c:pt idx="77">
                  <c:v>1.8733224771808372</c:v>
                </c:pt>
                <c:pt idx="78">
                  <c:v>1.8730319977940253</c:v>
                </c:pt>
                <c:pt idx="79">
                  <c:v>1.8727463879983801</c:v>
                </c:pt>
                <c:pt idx="80">
                  <c:v>1.8724654309625437</c:v>
                </c:pt>
                <c:pt idx="81">
                  <c:v>1.8721889199791182</c:v>
                </c:pt>
                <c:pt idx="82">
                  <c:v>1.8719166578937145</c:v>
                </c:pt>
                <c:pt idx="83">
                  <c:v>1.8716484565714639</c:v>
                </c:pt>
                <c:pt idx="84">
                  <c:v>1.8713841363981893</c:v>
                </c:pt>
                <c:pt idx="85">
                  <c:v>1.8711235258136616</c:v>
                </c:pt>
                <c:pt idx="86">
                  <c:v>1.8708664608745917</c:v>
                </c:pt>
                <c:pt idx="87">
                  <c:v>1.8706127848451919</c:v>
                </c:pt>
                <c:pt idx="88">
                  <c:v>1.8703623478133256</c:v>
                </c:pt>
                <c:pt idx="89">
                  <c:v>1.8701150063304171</c:v>
                </c:pt>
                <c:pt idx="90">
                  <c:v>1.8698706230734476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5D-4DBD-9714-F5952A2C4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43375"/>
        <c:axId val="98241935"/>
      </c:scatterChart>
      <c:valAx>
        <c:axId val="98243375"/>
        <c:scaling>
          <c:orientation val="minMax"/>
          <c:max val="1.2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241935"/>
        <c:crosses val="autoZero"/>
        <c:crossBetween val="midCat"/>
      </c:valAx>
      <c:valAx>
        <c:axId val="98241935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243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271670</xdr:colOff>
      <xdr:row>0</xdr:row>
      <xdr:rowOff>64189</xdr:rowOff>
    </xdr:from>
    <xdr:to>
      <xdr:col>12</xdr:col>
      <xdr:colOff>629479</xdr:colOff>
      <xdr:row>21</xdr:row>
      <xdr:rowOff>30526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744948D-5A21-FEC3-5E44-9F8709637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159887</xdr:colOff>
      <xdr:row>0</xdr:row>
      <xdr:rowOff>59149</xdr:rowOff>
    </xdr:from>
    <xdr:to>
      <xdr:col>19</xdr:col>
      <xdr:colOff>517148</xdr:colOff>
      <xdr:row>21</xdr:row>
      <xdr:rowOff>27179</xdr:rowOff>
    </xdr:to>
    <xdr:graphicFrame macro="">
      <xdr:nvGraphicFramePr>
        <xdr:cNvPr id="25" name="圖表 24">
          <a:extLst>
            <a:ext uri="{FF2B5EF4-FFF2-40B4-BE49-F238E27FC236}">
              <a16:creationId xmlns:a16="http://schemas.microsoft.com/office/drawing/2014/main" id="{887B5270-C376-C15D-AABB-35312414B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</xdr:colOff>
      <xdr:row>3</xdr:row>
      <xdr:rowOff>85725</xdr:rowOff>
    </xdr:from>
    <xdr:to>
      <xdr:col>8</xdr:col>
      <xdr:colOff>376237</xdr:colOff>
      <xdr:row>16</xdr:row>
      <xdr:rowOff>104775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A6AFAF9-B540-2208-44AA-AF4917C1E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3094-E20D-4D54-A042-9959AD9D3460}">
  <dimension ref="A1:Y24"/>
  <sheetViews>
    <sheetView tabSelected="1" zoomScale="115" zoomScaleNormal="115" workbookViewId="0">
      <selection activeCell="F31" sqref="F31"/>
    </sheetView>
  </sheetViews>
  <sheetFormatPr defaultRowHeight="16.2" x14ac:dyDescent="0.3"/>
  <cols>
    <col min="1" max="1" width="26.21875" customWidth="1"/>
    <col min="2" max="6" width="10.6640625" customWidth="1"/>
    <col min="7" max="7" width="9" customWidth="1"/>
  </cols>
  <sheetData>
    <row r="1" spans="1:25" x14ac:dyDescent="0.3">
      <c r="A1" s="32" t="s">
        <v>54</v>
      </c>
      <c r="B1" s="33"/>
      <c r="C1" s="33"/>
      <c r="D1" s="33"/>
      <c r="E1" s="33"/>
      <c r="F1" s="34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x14ac:dyDescent="0.3">
      <c r="A2" s="12" t="s">
        <v>0</v>
      </c>
      <c r="B2">
        <v>2</v>
      </c>
      <c r="F2" s="13"/>
    </row>
    <row r="3" spans="1:25" x14ac:dyDescent="0.3">
      <c r="A3" s="12" t="s">
        <v>6</v>
      </c>
      <c r="B3">
        <v>1</v>
      </c>
      <c r="F3" s="13"/>
    </row>
    <row r="4" spans="1:25" x14ac:dyDescent="0.3">
      <c r="A4" s="14"/>
      <c r="F4" s="13"/>
    </row>
    <row r="5" spans="1:25" x14ac:dyDescent="0.3">
      <c r="A5" s="12" t="s">
        <v>55</v>
      </c>
      <c r="B5" s="24">
        <v>1</v>
      </c>
      <c r="C5" s="24">
        <v>2</v>
      </c>
      <c r="D5" s="24">
        <v>3</v>
      </c>
      <c r="F5" s="13"/>
    </row>
    <row r="6" spans="1:25" x14ac:dyDescent="0.3">
      <c r="A6" s="12" t="s">
        <v>1</v>
      </c>
      <c r="B6">
        <v>455</v>
      </c>
      <c r="C6">
        <v>525</v>
      </c>
      <c r="D6">
        <v>625</v>
      </c>
      <c r="F6" s="13"/>
    </row>
    <row r="7" spans="1:25" x14ac:dyDescent="0.3">
      <c r="A7" s="14"/>
      <c r="B7" s="15" t="s">
        <v>3</v>
      </c>
      <c r="C7" s="15" t="s">
        <v>4</v>
      </c>
      <c r="F7" s="13"/>
    </row>
    <row r="8" spans="1:25" x14ac:dyDescent="0.3">
      <c r="A8" s="12" t="s">
        <v>2</v>
      </c>
      <c r="B8">
        <v>0</v>
      </c>
      <c r="C8">
        <v>0</v>
      </c>
      <c r="F8" s="13"/>
    </row>
    <row r="9" spans="1:25" x14ac:dyDescent="0.3">
      <c r="A9" s="12" t="s">
        <v>5</v>
      </c>
      <c r="B9">
        <v>35</v>
      </c>
      <c r="C9">
        <v>20</v>
      </c>
      <c r="F9" s="13"/>
    </row>
    <row r="10" spans="1:25" x14ac:dyDescent="0.3">
      <c r="A10" s="14"/>
      <c r="F10" s="13"/>
    </row>
    <row r="11" spans="1:25" x14ac:dyDescent="0.3">
      <c r="A11" s="14"/>
      <c r="B11" s="15" t="s">
        <v>58</v>
      </c>
      <c r="C11" s="15" t="s">
        <v>57</v>
      </c>
      <c r="F11" s="13"/>
    </row>
    <row r="12" spans="1:25" x14ac:dyDescent="0.3">
      <c r="A12" s="12" t="s">
        <v>40</v>
      </c>
      <c r="B12">
        <v>400</v>
      </c>
      <c r="C12">
        <v>-180</v>
      </c>
      <c r="D12" s="16"/>
      <c r="F12" s="13"/>
    </row>
    <row r="13" spans="1:25" x14ac:dyDescent="0.3">
      <c r="A13" s="12" t="s">
        <v>41</v>
      </c>
      <c r="B13" s="23">
        <f>1/Calculator!C7</f>
        <v>282.84271247461896</v>
      </c>
      <c r="C13" s="23">
        <f>ATAN2(Calculator!A7,Calculator!B7)/PI()*180</f>
        <v>45.000000000000007</v>
      </c>
      <c r="D13" s="16"/>
      <c r="F13" s="13"/>
    </row>
    <row r="14" spans="1:25" x14ac:dyDescent="0.3">
      <c r="A14" s="12" t="s">
        <v>42</v>
      </c>
      <c r="B14">
        <v>400</v>
      </c>
      <c r="C14">
        <v>-90</v>
      </c>
      <c r="D14" s="16"/>
      <c r="F14" s="13"/>
    </row>
    <row r="15" spans="1:25" ht="16.8" thickBot="1" x14ac:dyDescent="0.35">
      <c r="A15" s="17"/>
      <c r="B15" s="18"/>
      <c r="C15" s="18"/>
      <c r="D15" s="18"/>
      <c r="E15" s="18"/>
      <c r="F15" s="19"/>
    </row>
    <row r="16" spans="1:25" x14ac:dyDescent="0.3">
      <c r="A16" s="32" t="s">
        <v>35</v>
      </c>
      <c r="B16" s="33"/>
      <c r="C16" s="33"/>
      <c r="D16" s="33"/>
      <c r="E16" s="33"/>
      <c r="F16" s="34"/>
    </row>
    <row r="17" spans="1:6" x14ac:dyDescent="0.3">
      <c r="A17" s="12" t="s">
        <v>56</v>
      </c>
      <c r="B17">
        <v>2</v>
      </c>
      <c r="F17" s="13"/>
    </row>
    <row r="18" spans="1:6" x14ac:dyDescent="0.3">
      <c r="A18" s="14"/>
      <c r="B18" s="15" t="s">
        <v>36</v>
      </c>
      <c r="C18" s="15" t="s">
        <v>37</v>
      </c>
      <c r="D18" s="15" t="s">
        <v>38</v>
      </c>
      <c r="E18" s="15" t="s">
        <v>46</v>
      </c>
      <c r="F18" s="21" t="s">
        <v>45</v>
      </c>
    </row>
    <row r="19" spans="1:6" x14ac:dyDescent="0.3">
      <c r="A19" s="12" t="s">
        <v>40</v>
      </c>
      <c r="B19">
        <v>40</v>
      </c>
      <c r="C19">
        <v>-21</v>
      </c>
      <c r="E19">
        <v>2</v>
      </c>
      <c r="F19" s="13"/>
    </row>
    <row r="20" spans="1:6" x14ac:dyDescent="0.3">
      <c r="A20" s="12" t="s">
        <v>39</v>
      </c>
      <c r="B20">
        <v>0</v>
      </c>
      <c r="C20">
        <v>0</v>
      </c>
      <c r="D20">
        <v>15</v>
      </c>
      <c r="E20">
        <v>16</v>
      </c>
      <c r="F20" s="13">
        <v>12</v>
      </c>
    </row>
    <row r="21" spans="1:6" ht="16.8" thickBot="1" x14ac:dyDescent="0.35">
      <c r="A21" s="20" t="s">
        <v>42</v>
      </c>
      <c r="B21" s="22">
        <f>layout!F14</f>
        <v>0</v>
      </c>
      <c r="C21" s="22">
        <f>layout!G14</f>
        <v>0</v>
      </c>
      <c r="D21" s="18"/>
      <c r="E21" s="25">
        <f>MAX(layout!F7:F10)-MIN(layout!F7:F10)</f>
        <v>25.458963666369506</v>
      </c>
      <c r="F21" s="26">
        <f>MAX(layout!G7:G10)-MIN(layout!G7:G10)</f>
        <v>17.289809421253949</v>
      </c>
    </row>
    <row r="23" spans="1:6" x14ac:dyDescent="0.3">
      <c r="A23" s="44" t="s">
        <v>120</v>
      </c>
      <c r="B23" s="44"/>
    </row>
    <row r="24" spans="1:6" x14ac:dyDescent="0.3">
      <c r="A24" s="44"/>
      <c r="B24" s="44"/>
      <c r="C24" s="43"/>
      <c r="D24" s="43"/>
      <c r="E24" s="43"/>
      <c r="F24" s="43"/>
    </row>
  </sheetData>
  <protectedRanges>
    <protectedRange sqref="B2:B3 B6:D6 B8:C9 B12:C12 B14:C14 B19:C19 E19 B20:F20 B17" name="範圍1"/>
  </protectedRanges>
  <mergeCells count="4">
    <mergeCell ref="M1:Y1"/>
    <mergeCell ref="A16:F16"/>
    <mergeCell ref="A1:F1"/>
    <mergeCell ref="A23:B24"/>
  </mergeCells>
  <phoneticPr fontId="1" type="noConversion"/>
  <conditionalFormatting sqref="N2:X2 M2:M13 Y2:Y13 N13:X13">
    <cfRule type="containsText" dxfId="24" priority="2" operator="containsText" text="TRUE">
      <formula>NOT(ISERROR(SEARCH("TRUE",M2)))</formula>
    </cfRule>
    <cfRule type="containsText" dxfId="23" priority="3" operator="containsText" text="FALSE">
      <formula>NOT(ISERROR(SEARCH("FALSE",M2)))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8AA5CC1-FD2A-4727-8AFA-78E457A5F7DB}">
            <xm:f>NOT(layout!$K$49)</xm:f>
            <x14:dxf>
              <font>
                <color theme="1"/>
              </font>
              <fill>
                <patternFill>
                  <bgColor rgb="FFFF0000"/>
                </patternFill>
              </fill>
            </x14:dxf>
          </x14:cfRule>
          <xm:sqref>A23:B24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1265-0B0A-4406-B678-B423962789E3}">
  <dimension ref="A1:AJ84"/>
  <sheetViews>
    <sheetView topLeftCell="F43" zoomScaleNormal="100" workbookViewId="0">
      <selection activeCell="K74" sqref="K74"/>
    </sheetView>
  </sheetViews>
  <sheetFormatPr defaultRowHeight="16.2" x14ac:dyDescent="0.3"/>
  <cols>
    <col min="1" max="1" width="9" customWidth="1"/>
    <col min="2" max="2" width="9.44140625" customWidth="1"/>
    <col min="3" max="4" width="9" customWidth="1"/>
    <col min="5" max="5" width="9.44140625" customWidth="1"/>
    <col min="6" max="6" width="9" customWidth="1"/>
    <col min="7" max="7" width="9" style="1"/>
    <col min="9" max="9" width="8.77734375" style="1" customWidth="1"/>
    <col min="10" max="14" width="8.77734375" customWidth="1"/>
    <col min="15" max="15" width="8.77734375" style="2" customWidth="1"/>
    <col min="16" max="21" width="8.77734375" customWidth="1"/>
    <col min="22" max="22" width="8.77734375" style="2" customWidth="1"/>
    <col min="23" max="28" width="8.77734375" customWidth="1"/>
    <col min="29" max="29" width="8.77734375" style="2" customWidth="1"/>
    <col min="30" max="35" width="8.77734375" customWidth="1"/>
    <col min="36" max="36" width="8.77734375" style="2" customWidth="1"/>
  </cols>
  <sheetData>
    <row r="1" spans="1:36" x14ac:dyDescent="0.3">
      <c r="A1" s="31" t="s">
        <v>7</v>
      </c>
      <c r="B1" s="31"/>
      <c r="C1" s="31"/>
      <c r="D1" s="31" t="s">
        <v>11</v>
      </c>
      <c r="E1" s="31"/>
      <c r="F1" s="31"/>
      <c r="I1" s="35" t="s">
        <v>21</v>
      </c>
      <c r="J1" s="31"/>
      <c r="K1" s="31"/>
      <c r="L1" s="31"/>
      <c r="M1" s="31"/>
      <c r="N1" s="31"/>
      <c r="O1" s="36"/>
      <c r="P1" s="35" t="s">
        <v>17</v>
      </c>
      <c r="Q1" s="31"/>
      <c r="R1" s="31"/>
      <c r="S1" s="31"/>
      <c r="T1" s="31"/>
      <c r="U1" s="31"/>
      <c r="V1" s="36"/>
      <c r="W1" s="35" t="s">
        <v>18</v>
      </c>
      <c r="X1" s="31"/>
      <c r="Y1" s="31"/>
      <c r="Z1" s="31"/>
      <c r="AA1" s="31"/>
      <c r="AB1" s="31"/>
      <c r="AC1" s="36"/>
      <c r="AD1" s="35" t="s">
        <v>19</v>
      </c>
      <c r="AE1" s="31"/>
      <c r="AF1" s="31"/>
      <c r="AG1" s="31"/>
      <c r="AH1" s="31"/>
      <c r="AI1" s="31"/>
      <c r="AJ1" s="36"/>
    </row>
    <row r="2" spans="1:36" x14ac:dyDescent="0.3">
      <c r="A2" t="s">
        <v>10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P2">
        <v>1</v>
      </c>
      <c r="W2">
        <v>1</v>
      </c>
      <c r="AD2">
        <v>1</v>
      </c>
    </row>
    <row r="3" spans="1:36" x14ac:dyDescent="0.3">
      <c r="A3">
        <v>0</v>
      </c>
      <c r="B3">
        <f>control!$B$3*COS('k1'!A3/180*PI())</f>
        <v>1</v>
      </c>
      <c r="C3">
        <f>control!$B$3*SIN('k1'!A3/180*PI())</f>
        <v>0</v>
      </c>
      <c r="D3">
        <v>0</v>
      </c>
      <c r="E3">
        <f>control!$B$2*COS('k1'!D3/180*PI())</f>
        <v>2</v>
      </c>
      <c r="F3">
        <f>control!$B$2*SIN('k1'!D3/180*PI())</f>
        <v>0</v>
      </c>
      <c r="G3" s="1" t="s">
        <v>14</v>
      </c>
      <c r="H3">
        <v>-1</v>
      </c>
      <c r="P3">
        <f>P2*control!$B$6/control!$B$12</f>
        <v>1.1375</v>
      </c>
      <c r="W3">
        <f>W2*control!$B$6/control!$B$13</f>
        <v>1.6086679271993958</v>
      </c>
      <c r="AD3">
        <f>AD2*control!$B$6/control!$B$14</f>
        <v>1.1375</v>
      </c>
    </row>
    <row r="4" spans="1:36" x14ac:dyDescent="0.3">
      <c r="A4">
        <v>10</v>
      </c>
      <c r="B4">
        <f>control!$B$3*COS('k1'!A4/180*PI())</f>
        <v>0.98480775301220802</v>
      </c>
      <c r="C4">
        <f>control!$B$3*SIN('k1'!A4/180*PI())</f>
        <v>0.17364817766693033</v>
      </c>
      <c r="D4">
        <v>10</v>
      </c>
      <c r="E4">
        <f>control!$B$2*COS('k1'!D4/180*PI())</f>
        <v>1.969615506024416</v>
      </c>
      <c r="F4">
        <f>control!$B$2*SIN('k1'!D4/180*PI())</f>
        <v>0.34729635533386066</v>
      </c>
      <c r="H4">
        <f>H3*control!$B$9/2+control!$B$8</f>
        <v>-17.5</v>
      </c>
      <c r="I4" s="1" t="s">
        <v>33</v>
      </c>
      <c r="J4" t="s">
        <v>34</v>
      </c>
      <c r="K4" t="s">
        <v>115</v>
      </c>
      <c r="L4" t="s">
        <v>114</v>
      </c>
      <c r="M4" t="s">
        <v>12</v>
      </c>
      <c r="N4" s="6" t="s">
        <v>20</v>
      </c>
      <c r="O4" s="2" t="s">
        <v>51</v>
      </c>
      <c r="P4">
        <f>P3*COS(control!$C$12/180*PI())+Q3*COS(control!$E$12/180*PI())</f>
        <v>-1.1375</v>
      </c>
      <c r="Q4">
        <f>P3*SIN(control!$C$12/180*PI())+Q3*SIN(control!$E$12/180*PI())</f>
        <v>-1.3936063674585553E-16</v>
      </c>
      <c r="R4" t="s">
        <v>115</v>
      </c>
      <c r="S4" t="s">
        <v>114</v>
      </c>
      <c r="T4" t="s">
        <v>12</v>
      </c>
      <c r="U4" t="s">
        <v>20</v>
      </c>
      <c r="V4" s="8" t="s">
        <v>51</v>
      </c>
      <c r="W4">
        <f>W3*COS(control!$C$13/180*PI())+X3*COS(control!$E$13/180*PI())</f>
        <v>1.1374999999999997</v>
      </c>
      <c r="X4">
        <f>W3*SIN(control!$C$13/180*PI())+X3*SIN(control!$E$13/180*PI())</f>
        <v>1.1375000000000004</v>
      </c>
      <c r="Y4" t="s">
        <v>115</v>
      </c>
      <c r="Z4" t="s">
        <v>114</v>
      </c>
      <c r="AA4" t="s">
        <v>12</v>
      </c>
      <c r="AB4" t="s">
        <v>20</v>
      </c>
      <c r="AC4" s="2" t="s">
        <v>51</v>
      </c>
      <c r="AD4">
        <f>AD3*COS(control!$C$14/180*PI())+AE3*COS(control!$E$14/180*PI())</f>
        <v>6.9680318372927763E-17</v>
      </c>
      <c r="AE4">
        <f>AD3*SIN(control!$C$14/180*PI())+AE3*SIN(control!$E$14/180*PI())</f>
        <v>-1.1375</v>
      </c>
      <c r="AF4" t="s">
        <v>115</v>
      </c>
      <c r="AG4" t="s">
        <v>114</v>
      </c>
      <c r="AH4" t="s">
        <v>12</v>
      </c>
      <c r="AI4" t="s">
        <v>20</v>
      </c>
      <c r="AJ4" s="2" t="s">
        <v>51</v>
      </c>
    </row>
    <row r="5" spans="1:36" x14ac:dyDescent="0.3">
      <c r="A5">
        <v>20</v>
      </c>
      <c r="B5">
        <f>control!$B$3*COS('k1'!A5/180*PI())</f>
        <v>0.93969262078590843</v>
      </c>
      <c r="C5">
        <f>control!$B$3*SIN('k1'!A5/180*PI())</f>
        <v>0.34202014332566871</v>
      </c>
      <c r="D5">
        <v>20</v>
      </c>
      <c r="E5">
        <f>control!$B$2*COS('k1'!D5/180*PI())</f>
        <v>1.8793852415718169</v>
      </c>
      <c r="F5">
        <f>control!$B$2*SIN('k1'!D5/180*PI())</f>
        <v>0.68404028665133743</v>
      </c>
      <c r="G5" s="1">
        <v>-1</v>
      </c>
      <c r="H5">
        <f>G5*control!$C$9/2+control!$C$8</f>
        <v>-10</v>
      </c>
      <c r="I5" s="4">
        <f>control!$B$3*TAN('k1'!$H$4/180*PI())/SQRT(1+TAN('k1'!$H$4/180*PI())^2+TAN('k1'!H5/180*PI())^2)</f>
        <v>-0.29654195678697232</v>
      </c>
      <c r="J5" s="3">
        <f>control!$B$3*TAN('k1'!H5/180*PI())/SQRT(1+TAN('k1'!$H$4/180*PI())^2+TAN('k1'!H5/180*PI())^2)</f>
        <v>-0.16583745240358658</v>
      </c>
      <c r="K5" s="3" t="b">
        <f>(I5^2+J5^2)&gt;=1</f>
        <v>0</v>
      </c>
      <c r="L5" s="3" t="b">
        <f>(I5^2+J5^2)&lt;=control!$B$2^2</f>
        <v>1</v>
      </c>
      <c r="M5" s="3">
        <f>ROUND(ASIN(SQRT(I5^2+J5^2)/control!$B$3)/PI()*180,6)</f>
        <v>19.862462000000001</v>
      </c>
      <c r="N5">
        <f>ROUND(ATAN2(I5,J5)/PI()*180,6)</f>
        <v>-150.78443200000001</v>
      </c>
      <c r="O5" s="5">
        <f>ASIN((I5*$J$58-$I$58*J5)/(SQRT(I5^2+J5^2)*SQRT($I$58^2+$J$58^2)))/PI()*180</f>
        <v>60.784432440197115</v>
      </c>
      <c r="P5" s="3">
        <f>I5+$P$4</f>
        <v>-1.4340419567869722</v>
      </c>
      <c r="Q5" s="3">
        <f>J5+$Q$4</f>
        <v>-0.16583745240358672</v>
      </c>
      <c r="R5" s="3" t="b">
        <f>(P5^2+Q5^2)&gt;=1</f>
        <v>1</v>
      </c>
      <c r="S5" s="3" t="b">
        <f>(P5^2+Q5^2)&lt;=control!$B$2^2</f>
        <v>1</v>
      </c>
      <c r="T5" s="3">
        <f>ROUND(ASIN(SQRT(P5^2+Q5^2)/control!$B$2)/PI()*180,6)</f>
        <v>46.203256000000003</v>
      </c>
      <c r="U5" s="3">
        <f>ROUND(ATAN2(P5,Q5)/PI()*180,6)</f>
        <v>-173.403425</v>
      </c>
      <c r="V5" s="5">
        <f>ASIN((P5*$Q$58-$P$58*Q5)/(SQRT(P5^2+Q5^2)*SQRT($P$58^2+$Q$58^2)))/PI()*180</f>
        <v>-6.5965752904718951</v>
      </c>
      <c r="W5" s="3">
        <f>P5+$W$4</f>
        <v>-0.29654195678697248</v>
      </c>
      <c r="X5" s="3">
        <f>Q5+$X$4</f>
        <v>0.97166254759641368</v>
      </c>
      <c r="Y5" s="3" t="b">
        <f>(W5^2+X5^2)&gt;=1</f>
        <v>1</v>
      </c>
      <c r="Z5" s="3" t="b">
        <f>(W5^2+X5^2)&lt;=control!$B$2^2</f>
        <v>1</v>
      </c>
      <c r="AA5" s="3">
        <f>ROUND(ASIN(SQRT(W5^2+X5^2)/control!$B$2)/PI()*180,6)</f>
        <v>30.52758</v>
      </c>
      <c r="AB5" s="3">
        <f>ROUND(ATAN2(W5,X5)/PI()*180,6)</f>
        <v>106.97167899999999</v>
      </c>
      <c r="AC5" s="5">
        <f>ASIN((W5*$X$58-$W$58*X5)/(SQRT(W5^2+X5^2)*SQRT($W$58^2+$X$58^2)))/PI()*180</f>
        <v>-16.971679290355162</v>
      </c>
      <c r="AD5" s="3">
        <f>W5+$AD$4</f>
        <v>-0.29654195678697243</v>
      </c>
      <c r="AE5" s="3">
        <f>X5+$AE$4</f>
        <v>-0.16583745240358627</v>
      </c>
      <c r="AF5" s="3" t="b">
        <f>(AD5^2+AE5^2)&gt;=1</f>
        <v>0</v>
      </c>
      <c r="AG5" s="3" t="b">
        <f>(AD5^2+AE5^2)&lt;=control!$B$2^2</f>
        <v>1</v>
      </c>
      <c r="AH5" s="3">
        <f>ROUND(ASIN(SQRT(AD5^2+AE5^2)/control!$B$2)/PI()*180,6)</f>
        <v>9.7809419999999996</v>
      </c>
      <c r="AI5" s="3">
        <f>ROUND(ATAN2(AD5,AE5)/PI()*180,6)</f>
        <v>-150.78443200000001</v>
      </c>
      <c r="AJ5" s="5">
        <f>ASIN((AD5*$AE$58-$AD$58*AE5)/(SQRT(AD5^2+AE5^2)*SQRT($AD$58^2+$AE$58^2)))/PI()*180</f>
        <v>-83.733369721120482</v>
      </c>
    </row>
    <row r="6" spans="1:36" x14ac:dyDescent="0.3">
      <c r="A6">
        <v>30</v>
      </c>
      <c r="B6">
        <f>control!$B$3*COS('k1'!A6/180*PI())</f>
        <v>0.86602540378443871</v>
      </c>
      <c r="C6">
        <f>control!$B$3*SIN('k1'!A6/180*PI())</f>
        <v>0.49999999999999994</v>
      </c>
      <c r="D6">
        <v>30</v>
      </c>
      <c r="E6">
        <f>control!$B$2*COS('k1'!D6/180*PI())</f>
        <v>1.7320508075688774</v>
      </c>
      <c r="F6">
        <f>control!$B$2*SIN('k1'!D6/180*PI())</f>
        <v>0.99999999999999989</v>
      </c>
      <c r="G6" s="1">
        <v>-0.8</v>
      </c>
      <c r="H6">
        <f>G6*control!$C$9/2+control!$C$8</f>
        <v>-8</v>
      </c>
      <c r="I6" s="1">
        <f>control!$B$3*TAN('k1'!$H$4/180*PI())/SQRT(1+TAN('k1'!$H$4/180*PI())^2+TAN('k1'!H6/180*PI())^2)</f>
        <v>-0.29804046508194998</v>
      </c>
      <c r="J6">
        <f>control!$B$3*TAN('k1'!H6/180*PI())/SQRT(1+TAN('k1'!$H$4/180*PI())^2+TAN('k1'!H6/180*PI())^2)</f>
        <v>-0.13284813394504671</v>
      </c>
      <c r="K6" s="40" t="b">
        <f>(I6^2+J6^2)&gt;=1</f>
        <v>0</v>
      </c>
      <c r="L6" s="40" t="b">
        <f>(I6^2+J6^2)&lt;=control!$B$2^2</f>
        <v>1</v>
      </c>
      <c r="M6">
        <f>ROUND(ASIN(SQRT(I6^2+J6^2)/control!$B$3)/PI()*180,6)</f>
        <v>19.044823000000001</v>
      </c>
      <c r="N6">
        <f>ROUND(ATAN2(I6,J6)/PI()*180,6)</f>
        <v>-155.97562300000001</v>
      </c>
      <c r="O6" s="2">
        <f>ASIN((I6*$J$58-$I$58*J6)/(SQRT(I6^2+J6^2)*SQRT($I$58^2+$J$58^2)))/PI()*180</f>
        <v>65.975622908867265</v>
      </c>
      <c r="P6">
        <f>I6+$P$4</f>
        <v>-1.4355404650819499</v>
      </c>
      <c r="Q6">
        <f>J6+$Q$4</f>
        <v>-0.13284813394504685</v>
      </c>
      <c r="R6" s="40" t="b">
        <f>(P6^2+Q6^2)&gt;=1</f>
        <v>1</v>
      </c>
      <c r="S6" s="40" t="b">
        <f>(P6^2+Q6^2)&lt;=control!$B$2^2</f>
        <v>1</v>
      </c>
      <c r="T6">
        <f>ROUND(ASIN(SQRT(P6^2+Q6^2)/control!$B$2)/PI()*180,6)</f>
        <v>46.123643999999999</v>
      </c>
      <c r="U6">
        <f>ROUND(ATAN2(P6,Q6)/PI()*180,6)</f>
        <v>-174.71277900000001</v>
      </c>
      <c r="V6" s="2">
        <f>ASIN((P6*$Q$58-$P$58*Q6)/(SQRT(P6^2+Q6^2)*SQRT($P$58^2+$Q$58^2)))/PI()*180</f>
        <v>-5.287220871255232</v>
      </c>
      <c r="W6">
        <f>P6+$W$4</f>
        <v>-0.29804046508195015</v>
      </c>
      <c r="X6">
        <f>Q6+$X$4</f>
        <v>1.0046518660549535</v>
      </c>
      <c r="Y6" s="40" t="b">
        <f>(W6^2+X6^2)&gt;=1</f>
        <v>1</v>
      </c>
      <c r="Z6" s="40" t="b">
        <f>(W6^2+X6^2)&lt;=control!$B$2^2</f>
        <v>1</v>
      </c>
      <c r="AA6">
        <f>ROUND(ASIN(SQRT(W6^2+X6^2)/control!$B$2)/PI()*180,6)</f>
        <v>31.598533</v>
      </c>
      <c r="AB6">
        <f>ROUND(ATAN2(W6,X6)/PI()*180,6)</f>
        <v>106.52354</v>
      </c>
      <c r="AC6" s="2">
        <f>ASIN((W6*$X$58-$W$58*X6)/(SQRT(W6^2+X6^2)*SQRT($W$58^2+$X$58^2)))/PI()*180</f>
        <v>-16.523539554398148</v>
      </c>
      <c r="AD6">
        <f>W6+$AD$4</f>
        <v>-0.29804046508195009</v>
      </c>
      <c r="AE6">
        <f>X6+$AE$4</f>
        <v>-0.13284813394504646</v>
      </c>
      <c r="AF6" s="40" t="b">
        <f>(AD6^2+AE6^2)&gt;=1</f>
        <v>0</v>
      </c>
      <c r="AG6" s="40" t="b">
        <f>(AD6^2+AE6^2)&lt;=control!$B$2^2</f>
        <v>1</v>
      </c>
      <c r="AH6">
        <f>ROUND(ASIN(SQRT(AD6^2+AE6^2)/control!$B$2)/PI()*180,6)</f>
        <v>9.3900059999999996</v>
      </c>
      <c r="AI6">
        <f t="shared" ref="AI6:AI15" si="0">ROUND(ATAN2(AD6,AE6)/PI()*180,6)</f>
        <v>-155.97562300000001</v>
      </c>
      <c r="AJ6" s="2">
        <f t="shared" ref="AJ6:AJ15" si="1">ASIN((AD6*$AE$58-$AD$58*AE6)/(SQRT(AD6^2+AE6^2)*SQRT($AD$58^2+$AE$58^2)))/PI()*180</f>
        <v>-88.92456018979064</v>
      </c>
    </row>
    <row r="7" spans="1:36" x14ac:dyDescent="0.3">
      <c r="A7">
        <v>40</v>
      </c>
      <c r="B7">
        <f>control!$B$3*COS('k1'!A7/180*PI())</f>
        <v>0.76604444311897801</v>
      </c>
      <c r="C7">
        <f>control!$B$3*SIN('k1'!A7/180*PI())</f>
        <v>0.64278760968653925</v>
      </c>
      <c r="D7">
        <v>40</v>
      </c>
      <c r="E7">
        <f>control!$B$2*COS('k1'!D7/180*PI())</f>
        <v>1.532088886237956</v>
      </c>
      <c r="F7">
        <f>control!$B$2*SIN('k1'!D7/180*PI())</f>
        <v>1.2855752193730785</v>
      </c>
      <c r="G7" s="1">
        <v>-0.6</v>
      </c>
      <c r="H7">
        <f>G7*control!$C$9/2+control!$C$8</f>
        <v>-6</v>
      </c>
      <c r="I7" s="1">
        <f>control!$B$3*TAN('k1'!$H$4/180*PI())/SQRT(1+TAN('k1'!$H$4/180*PI())^2+TAN('k1'!H7/180*PI())^2)</f>
        <v>-0.29920634470024859</v>
      </c>
      <c r="J7">
        <f>control!$B$3*TAN('k1'!H7/180*PI())/SQRT(1+TAN('k1'!$H$4/180*PI())^2+TAN('k1'!H7/180*PI())^2)</f>
        <v>-9.9739850438906014E-2</v>
      </c>
      <c r="K7" s="40" t="b">
        <f t="shared" ref="K7:K15" si="2">(I7^2+J7^2)&gt;=1</f>
        <v>0</v>
      </c>
      <c r="L7" s="40" t="b">
        <f>(I7^2+J7^2)&lt;=control!$B$2^2</f>
        <v>1</v>
      </c>
      <c r="M7">
        <f>ROUND(ASIN(SQRT(I7^2+J7^2)/control!$B$3)/PI()*180,6)</f>
        <v>18.384515</v>
      </c>
      <c r="N7">
        <f>ROUND(ATAN2(I7,J7)/PI()*180,6)</f>
        <v>-161.56429199999999</v>
      </c>
      <c r="O7" s="2">
        <f>ASIN((I7*$J$58-$I$58*J7)/(SQRT(I7^2+J7^2)*SQRT($I$58^2+$J$58^2)))/PI()*180</f>
        <v>71.564292489912305</v>
      </c>
      <c r="P7">
        <f>I7+$P$4</f>
        <v>-1.4367063447002486</v>
      </c>
      <c r="Q7">
        <f>J7+$Q$4</f>
        <v>-9.9739850438906152E-2</v>
      </c>
      <c r="R7" s="40" t="b">
        <f t="shared" ref="R7:R15" si="3">(P7^2+Q7^2)&gt;=1</f>
        <v>1</v>
      </c>
      <c r="S7" s="40" t="b">
        <f>(P7^2+Q7^2)&lt;=control!$B$2^2</f>
        <v>1</v>
      </c>
      <c r="T7">
        <f>ROUND(ASIN(SQRT(P7^2+Q7^2)/control!$B$2)/PI()*180,6)</f>
        <v>46.061262999999997</v>
      </c>
      <c r="U7">
        <f>ROUND(ATAN2(P7,Q7)/PI()*180,6)</f>
        <v>-176.028751</v>
      </c>
      <c r="V7" s="2">
        <f>ASIN((P7*$Q$58-$P$58*Q7)/(SQRT(P7^2+Q7^2)*SQRT($P$58^2+$Q$58^2)))/PI()*180</f>
        <v>-3.9712487856960941</v>
      </c>
      <c r="W7">
        <f>P7+$W$4</f>
        <v>-0.29920634470024887</v>
      </c>
      <c r="X7">
        <f>Q7+$X$4</f>
        <v>1.0377601495610942</v>
      </c>
      <c r="Y7" s="40" t="b">
        <f t="shared" ref="Y7:Y15" si="4">(W7^2+X7^2)&gt;=1</f>
        <v>1</v>
      </c>
      <c r="Z7" s="40" t="b">
        <f>(W7^2+X7^2)&lt;=control!$B$2^2</f>
        <v>1</v>
      </c>
      <c r="AA7">
        <f>ROUND(ASIN(SQRT(W7^2+X7^2)/control!$B$2)/PI()*180,6)</f>
        <v>32.684750999999999</v>
      </c>
      <c r="AB7">
        <f>ROUND(ATAN2(W7,X7)/PI()*180,6)</f>
        <v>106.083296</v>
      </c>
      <c r="AC7" s="2">
        <f>ASIN((W7*$X$58-$W$58*X7)/(SQRT(W7^2+X7^2)*SQRT($W$58^2+$X$58^2)))/PI()*180</f>
        <v>-16.083295745089867</v>
      </c>
      <c r="AD7">
        <f>W7+$AD$4</f>
        <v>-0.29920634470024882</v>
      </c>
      <c r="AE7">
        <f>X7+$AE$4</f>
        <v>-9.9739850438905764E-2</v>
      </c>
      <c r="AF7" s="40" t="b">
        <f t="shared" ref="AF7:AF15" si="5">(AD7^2+AE7^2)&gt;=1</f>
        <v>0</v>
      </c>
      <c r="AG7" s="40" t="b">
        <f>(AD7^2+AE7^2)&lt;=control!$B$2^2</f>
        <v>1</v>
      </c>
      <c r="AH7">
        <f>ROUND(ASIN(SQRT(AD7^2+AE7^2)/control!$B$2)/PI()*180,6)</f>
        <v>9.0732060000000008</v>
      </c>
      <c r="AI7">
        <f t="shared" si="0"/>
        <v>-161.56429199999999</v>
      </c>
      <c r="AJ7" s="2">
        <f t="shared" si="1"/>
        <v>-85.486770229164364</v>
      </c>
    </row>
    <row r="8" spans="1:36" x14ac:dyDescent="0.3">
      <c r="A8">
        <v>50</v>
      </c>
      <c r="B8">
        <f>control!$B$3*COS('k1'!A8/180*PI())</f>
        <v>0.64278760968653936</v>
      </c>
      <c r="C8">
        <f>control!$B$3*SIN('k1'!A8/180*PI())</f>
        <v>0.76604444311897801</v>
      </c>
      <c r="D8">
        <v>50</v>
      </c>
      <c r="E8">
        <f>control!$B$2*COS('k1'!D8/180*PI())</f>
        <v>1.2855752193730787</v>
      </c>
      <c r="F8">
        <f>control!$B$2*SIN('k1'!D8/180*PI())</f>
        <v>1.532088886237956</v>
      </c>
      <c r="G8" s="1">
        <v>-0.4</v>
      </c>
      <c r="H8">
        <f>G8*control!$C$9/2+control!$C$8</f>
        <v>-4</v>
      </c>
      <c r="I8" s="1">
        <f>control!$B$3*TAN('k1'!$H$4/180*PI())/SQRT(1+TAN('k1'!$H$4/180*PI())^2+TAN('k1'!H8/180*PI())^2)</f>
        <v>-0.30003931119635729</v>
      </c>
      <c r="J8">
        <f>control!$B$3*TAN('k1'!H8/180*PI())/SQRT(1+TAN('k1'!$H$4/180*PI())^2+TAN('k1'!H8/180*PI())^2)</f>
        <v>-6.6542572409755835E-2</v>
      </c>
      <c r="K8" s="40" t="b">
        <f t="shared" si="2"/>
        <v>0</v>
      </c>
      <c r="L8" s="40" t="b">
        <f>(I8^2+J8^2)&lt;=control!$B$2^2</f>
        <v>1</v>
      </c>
      <c r="M8">
        <f>ROUND(ASIN(SQRT(I8^2+J8^2)/control!$B$3)/PI()*180,6)</f>
        <v>17.898375000000001</v>
      </c>
      <c r="N8">
        <f>ROUND(ATAN2(I8,J8)/PI()*180,6)</f>
        <v>-167.49536599999999</v>
      </c>
      <c r="O8" s="2">
        <f>ASIN((I8*$J$58-$I$58*J8)/(SQRT(I8^2+J8^2)*SQRT($I$58^2+$J$58^2)))/PI()*180</f>
        <v>77.495366244540094</v>
      </c>
      <c r="P8">
        <f>I8+$P$4</f>
        <v>-1.4375393111963573</v>
      </c>
      <c r="Q8">
        <f>J8+$Q$4</f>
        <v>-6.6542572409755973E-2</v>
      </c>
      <c r="R8" s="40" t="b">
        <f t="shared" si="3"/>
        <v>1</v>
      </c>
      <c r="S8" s="40" t="b">
        <f>(P8^2+Q8^2)&lt;=control!$B$2^2</f>
        <v>1</v>
      </c>
      <c r="T8">
        <f>ROUND(ASIN(SQRT(P8^2+Q8^2)/control!$B$2)/PI()*180,6)</f>
        <v>46.016457000000003</v>
      </c>
      <c r="U8">
        <f>ROUND(ATAN2(P8,Q8)/PI()*180,6)</f>
        <v>-177.349715</v>
      </c>
      <c r="V8" s="2">
        <f>ASIN((P8*$Q$58-$P$58*Q8)/(SQRT(P8^2+Q8^2)*SQRT($P$58^2+$Q$58^2)))/PI()*180</f>
        <v>-2.6502850677609646</v>
      </c>
      <c r="W8">
        <f>P8+$W$4</f>
        <v>-0.30003931119635752</v>
      </c>
      <c r="X8">
        <f>Q8+$X$4</f>
        <v>1.0709574275902445</v>
      </c>
      <c r="Y8" s="40" t="b">
        <f t="shared" si="4"/>
        <v>1</v>
      </c>
      <c r="Z8" s="40" t="b">
        <f>(W8^2+X8^2)&lt;=control!$B$2^2</f>
        <v>1</v>
      </c>
      <c r="AA8">
        <f>ROUND(ASIN(SQRT(W8^2+X8^2)/control!$B$2)/PI()*180,6)</f>
        <v>33.786273999999999</v>
      </c>
      <c r="AB8">
        <f>ROUND(ATAN2(W8,X8)/PI()*180,6)</f>
        <v>105.650741</v>
      </c>
      <c r="AC8" s="2">
        <f>ASIN((W8*$X$58-$W$58*X8)/(SQRT(W8^2+X8^2)*SQRT($W$58^2+$X$58^2)))/PI()*180</f>
        <v>-15.650740923590972</v>
      </c>
      <c r="AD8">
        <f>W8+$AD$4</f>
        <v>-0.30003931119635746</v>
      </c>
      <c r="AE8">
        <f>X8+$AE$4</f>
        <v>-6.6542572409755474E-2</v>
      </c>
      <c r="AF8" s="40" t="b">
        <f t="shared" si="5"/>
        <v>0</v>
      </c>
      <c r="AG8" s="40" t="b">
        <f>(AD8^2+AE8^2)&lt;=control!$B$2^2</f>
        <v>1</v>
      </c>
      <c r="AH8">
        <f>ROUND(ASIN(SQRT(AD8^2+AE8^2)/control!$B$2)/PI()*180,6)</f>
        <v>8.8393680000000003</v>
      </c>
      <c r="AI8">
        <f t="shared" si="0"/>
        <v>-167.49536599999999</v>
      </c>
      <c r="AJ8" s="2">
        <f t="shared" si="1"/>
        <v>-79.555696474536546</v>
      </c>
    </row>
    <row r="9" spans="1:36" x14ac:dyDescent="0.3">
      <c r="A9">
        <v>60</v>
      </c>
      <c r="B9">
        <f>control!$B$3*COS('k1'!A9/180*PI())</f>
        <v>0.50000000000000011</v>
      </c>
      <c r="C9">
        <f>control!$B$3*SIN('k1'!A9/180*PI())</f>
        <v>0.8660254037844386</v>
      </c>
      <c r="D9">
        <v>60</v>
      </c>
      <c r="E9">
        <f>control!$B$2*COS('k1'!D9/180*PI())</f>
        <v>1.0000000000000002</v>
      </c>
      <c r="F9">
        <f>control!$B$2*SIN('k1'!D9/180*PI())</f>
        <v>1.7320508075688772</v>
      </c>
      <c r="G9" s="1">
        <v>-0.2</v>
      </c>
      <c r="H9">
        <f>G9*control!$C$9/2+control!$C$8</f>
        <v>-2</v>
      </c>
      <c r="I9" s="1">
        <f>control!$B$3*TAN('k1'!$H$4/180*PI())/SQRT(1+TAN('k1'!$H$4/180*PI())^2+TAN('k1'!H9/180*PI())^2)</f>
        <v>-0.30053916792201169</v>
      </c>
      <c r="J9">
        <f>control!$B$3*TAN('k1'!H9/180*PI())/SQRT(1+TAN('k1'!$H$4/180*PI())^2+TAN('k1'!H9/180*PI())^2)</f>
        <v>-3.3286074594705777E-2</v>
      </c>
      <c r="K9" s="40" t="b">
        <f t="shared" si="2"/>
        <v>0</v>
      </c>
      <c r="L9" s="40" t="b">
        <f>(I9^2+J9^2)&lt;=control!$B$2^2</f>
        <v>1</v>
      </c>
      <c r="M9">
        <f>ROUND(ASIN(SQRT(I9^2+J9^2)/control!$B$3)/PI()*180,6)</f>
        <v>17.600418000000001</v>
      </c>
      <c r="N9">
        <f>ROUND(ATAN2(I9,J9)/PI()*180,6)</f>
        <v>-173.67999</v>
      </c>
      <c r="O9" s="2">
        <f>ASIN((I9*$J$58-$I$58*J9)/(SQRT(I9^2+J9^2)*SQRT($I$58^2+$J$58^2)))/PI()*180</f>
        <v>83.679990424852178</v>
      </c>
      <c r="P9">
        <f>I9+$P$4</f>
        <v>-1.4380391679220117</v>
      </c>
      <c r="Q9">
        <f>J9+$Q$4</f>
        <v>-3.3286074594705915E-2</v>
      </c>
      <c r="R9" s="40" t="b">
        <f t="shared" si="3"/>
        <v>1</v>
      </c>
      <c r="S9" s="40" t="b">
        <f>(P9^2+Q9^2)&lt;=control!$B$2^2</f>
        <v>1</v>
      </c>
      <c r="T9">
        <f>ROUND(ASIN(SQRT(P9^2+Q9^2)/control!$B$2)/PI()*180,6)</f>
        <v>45.989474000000001</v>
      </c>
      <c r="U9">
        <f>ROUND(ATAN2(P9,Q9)/PI()*180,6)</f>
        <v>-178.67402000000001</v>
      </c>
      <c r="V9" s="2">
        <f>ASIN((P9*$Q$58-$P$58*Q9)/(SQRT(P9^2+Q9^2)*SQRT($P$58^2+$Q$58^2)))/PI()*180</f>
        <v>-1.3259799457671819</v>
      </c>
      <c r="W9">
        <f>P9+$W$4</f>
        <v>-0.30053916792201196</v>
      </c>
      <c r="X9">
        <f>Q9+$X$4</f>
        <v>1.1042139254052945</v>
      </c>
      <c r="Y9" s="40" t="b">
        <f t="shared" si="4"/>
        <v>1</v>
      </c>
      <c r="Z9" s="40" t="b">
        <f>(W9^2+X9^2)&lt;=control!$B$2^2</f>
        <v>1</v>
      </c>
      <c r="AA9">
        <f>ROUND(ASIN(SQRT(W9^2+X9^2)/control!$B$2)/PI()*180,6)</f>
        <v>34.903182999999999</v>
      </c>
      <c r="AB9">
        <f>ROUND(ATAN2(W9,X9)/PI()*180,6)</f>
        <v>105.22565</v>
      </c>
      <c r="AC9" s="2">
        <f>ASIN((W9*$X$58-$W$58*X9)/(SQRT(W9^2+X9^2)*SQRT($W$58^2+$X$58^2)))/PI()*180</f>
        <v>-15.225649915307731</v>
      </c>
      <c r="AD9">
        <f>W9+$AD$4</f>
        <v>-0.30053916792201191</v>
      </c>
      <c r="AE9">
        <f>X9+$AE$4</f>
        <v>-3.328607459470545E-2</v>
      </c>
      <c r="AF9" s="40" t="b">
        <f t="shared" si="5"/>
        <v>0</v>
      </c>
      <c r="AG9" s="40" t="b">
        <f>(AD9^2+AE9^2)&lt;=control!$B$2^2</f>
        <v>1</v>
      </c>
      <c r="AH9">
        <f>ROUND(ASIN(SQRT(AD9^2+AE9^2)/control!$B$2)/PI()*180,6)</f>
        <v>8.6958040000000008</v>
      </c>
      <c r="AI9">
        <f t="shared" si="0"/>
        <v>-173.67999</v>
      </c>
      <c r="AJ9" s="2">
        <f t="shared" si="1"/>
        <v>-73.371072294224476</v>
      </c>
    </row>
    <row r="10" spans="1:36" x14ac:dyDescent="0.3">
      <c r="A10">
        <v>70</v>
      </c>
      <c r="B10">
        <f>control!$B$3*COS('k1'!A10/180*PI())</f>
        <v>0.34202014332566882</v>
      </c>
      <c r="C10">
        <f>control!$B$3*SIN('k1'!A10/180*PI())</f>
        <v>0.93969262078590832</v>
      </c>
      <c r="D10">
        <v>70</v>
      </c>
      <c r="E10">
        <f>control!$B$2*COS('k1'!D10/180*PI())</f>
        <v>0.68404028665133765</v>
      </c>
      <c r="F10">
        <f>control!$B$2*SIN('k1'!D10/180*PI())</f>
        <v>1.8793852415718166</v>
      </c>
      <c r="G10" s="1">
        <v>0</v>
      </c>
      <c r="H10">
        <f>G10*control!$C$9/2+control!$C$8</f>
        <v>0</v>
      </c>
      <c r="I10" s="1">
        <f>control!$B$3*TAN('k1'!$H$4/180*PI())/SQRT(1+TAN('k1'!$H$4/180*PI())^2+TAN('k1'!H10/180*PI())^2)</f>
        <v>-0.30070579950427312</v>
      </c>
      <c r="J10">
        <f>control!$B$3*TAN('k1'!H10/180*PI())/SQRT(1+TAN('k1'!$H$4/180*PI())^2+TAN('k1'!H10/180*PI())^2)</f>
        <v>0</v>
      </c>
      <c r="K10" s="40" t="b">
        <f t="shared" si="2"/>
        <v>0</v>
      </c>
      <c r="L10" s="40" t="b">
        <f>(I10^2+J10^2)&lt;=control!$B$2^2</f>
        <v>1</v>
      </c>
      <c r="M10">
        <f>ROUND(ASIN(SQRT(I10^2+J10^2)/control!$B$3)/PI()*180,6)</f>
        <v>17.5</v>
      </c>
      <c r="N10">
        <f>ROUND(ATAN2(I10,J10)/PI()*180,6)</f>
        <v>180</v>
      </c>
      <c r="O10" s="2">
        <f>ASIN((I10*$J$58-$I$58*J10)/(SQRT(I10^2+J10^2)*SQRT($I$58^2+$J$58^2)))/PI()*180</f>
        <v>90</v>
      </c>
      <c r="P10">
        <f>I10+$P$4</f>
        <v>-1.438205799504273</v>
      </c>
      <c r="Q10">
        <f>J10+$Q$4</f>
        <v>-1.3936063674585553E-16</v>
      </c>
      <c r="R10" s="40" t="b">
        <f t="shared" si="3"/>
        <v>1</v>
      </c>
      <c r="S10" s="40" t="b">
        <f>(P10^2+Q10^2)&lt;=control!$B$2^2</f>
        <v>1</v>
      </c>
      <c r="T10">
        <f>ROUND(ASIN(SQRT(P10^2+Q10^2)/control!$B$2)/PI()*180,6)</f>
        <v>45.980463999999998</v>
      </c>
      <c r="U10">
        <f>ROUND(ATAN2(P10,Q10)/PI()*180,6)</f>
        <v>-180</v>
      </c>
      <c r="V10" s="2">
        <f>ASIN((P10*$Q$58-$P$58*Q10)/(SQRT(P10^2+Q10^2)*SQRT($P$58^2+$Q$58^2)))/PI()*180</f>
        <v>1.1205912696765738E-15</v>
      </c>
      <c r="W10">
        <f>P10+$W$4</f>
        <v>-0.30070579950427323</v>
      </c>
      <c r="X10">
        <f>Q10+$X$4</f>
        <v>1.1375000000000002</v>
      </c>
      <c r="Y10" s="40" t="b">
        <f t="shared" si="4"/>
        <v>1</v>
      </c>
      <c r="Z10" s="40" t="b">
        <f>(W10^2+X10^2)&lt;=control!$B$2^2</f>
        <v>1</v>
      </c>
      <c r="AA10">
        <f>ROUND(ASIN(SQRT(W10^2+X10^2)/control!$B$2)/PI()*180,6)</f>
        <v>36.035600000000002</v>
      </c>
      <c r="AB10">
        <f>ROUND(ATAN2(W10,X10)/PI()*180,6)</f>
        <v>104.807784</v>
      </c>
      <c r="AC10" s="2">
        <f>ASIN((W10*$X$58-$W$58*X10)/(SQRT(W10^2+X10^2)*SQRT($W$58^2+$X$58^2)))/PI()*180</f>
        <v>-14.807784245136247</v>
      </c>
      <c r="AD10">
        <f>W10+$AD$4</f>
        <v>-0.30070579950427317</v>
      </c>
      <c r="AE10">
        <f>X10+$AE$4</f>
        <v>0</v>
      </c>
      <c r="AF10" s="40" t="b">
        <f t="shared" si="5"/>
        <v>0</v>
      </c>
      <c r="AG10" s="40" t="b">
        <f>(AD10^2+AE10^2)&lt;=control!$B$2^2</f>
        <v>1</v>
      </c>
      <c r="AH10">
        <f>ROUND(ASIN(SQRT(AD10^2+AE10^2)/control!$B$2)/PI()*180,6)</f>
        <v>8.6473779999999998</v>
      </c>
      <c r="AI10">
        <f t="shared" si="0"/>
        <v>180</v>
      </c>
      <c r="AJ10" s="2">
        <f t="shared" si="1"/>
        <v>-67.051062719076725</v>
      </c>
    </row>
    <row r="11" spans="1:36" x14ac:dyDescent="0.3">
      <c r="A11">
        <v>80</v>
      </c>
      <c r="B11">
        <f>control!$B$3*COS('k1'!A11/180*PI())</f>
        <v>0.17364817766693041</v>
      </c>
      <c r="C11">
        <f>control!$B$3*SIN('k1'!A11/180*PI())</f>
        <v>0.98480775301220802</v>
      </c>
      <c r="D11">
        <v>80</v>
      </c>
      <c r="E11">
        <f>control!$B$2*COS('k1'!D11/180*PI())</f>
        <v>0.34729635533386083</v>
      </c>
      <c r="F11">
        <f>control!$B$2*SIN('k1'!D11/180*PI())</f>
        <v>1.969615506024416</v>
      </c>
      <c r="G11" s="1">
        <v>0.2</v>
      </c>
      <c r="H11">
        <f>G11*control!$C$9/2+control!$C$8</f>
        <v>2</v>
      </c>
      <c r="I11" s="1">
        <f>control!$B$3*TAN('k1'!$H$4/180*PI())/SQRT(1+TAN('k1'!$H$4/180*PI())^2+TAN('k1'!H11/180*PI())^2)</f>
        <v>-0.30053916792201169</v>
      </c>
      <c r="J11">
        <f>control!$B$3*TAN('k1'!H11/180*PI())/SQRT(1+TAN('k1'!$H$4/180*PI())^2+TAN('k1'!H11/180*PI())^2)</f>
        <v>3.3286074594705777E-2</v>
      </c>
      <c r="K11" s="40" t="b">
        <f t="shared" si="2"/>
        <v>0</v>
      </c>
      <c r="L11" s="40" t="b">
        <f>(I11^2+J11^2)&lt;=control!$B$2^2</f>
        <v>1</v>
      </c>
      <c r="M11">
        <f>ROUND(ASIN(SQRT(I11^2+J11^2)/control!$B$3)/PI()*180,6)</f>
        <v>17.600418000000001</v>
      </c>
      <c r="N11">
        <f>ROUND(ATAN2(I11,J11)/PI()*180,6)</f>
        <v>173.67999</v>
      </c>
      <c r="O11" s="2">
        <f>ASIN((I11*$J$58-$I$58*J11)/(SQRT(I11^2+J11^2)*SQRT($I$58^2+$J$58^2)))/PI()*180</f>
        <v>83.679990424852178</v>
      </c>
      <c r="P11">
        <f>I11+$P$4</f>
        <v>-1.4380391679220117</v>
      </c>
      <c r="Q11">
        <f>J11+$Q$4</f>
        <v>3.3286074594705638E-2</v>
      </c>
      <c r="R11" s="40" t="b">
        <f t="shared" si="3"/>
        <v>1</v>
      </c>
      <c r="S11" s="40" t="b">
        <f>(P11^2+Q11^2)&lt;=control!$B$2^2</f>
        <v>1</v>
      </c>
      <c r="T11">
        <f>ROUND(ASIN(SQRT(P11^2+Q11^2)/control!$B$2)/PI()*180,6)</f>
        <v>45.989474000000001</v>
      </c>
      <c r="U11">
        <f>ROUND(ATAN2(P11,Q11)/PI()*180,6)</f>
        <v>178.67402000000001</v>
      </c>
      <c r="V11" s="2">
        <f>ASIN((P11*$Q$58-$P$58*Q11)/(SQRT(P11^2+Q11^2)*SQRT($P$58^2+$Q$58^2)))/PI()*180</f>
        <v>1.3259799457671837</v>
      </c>
      <c r="W11">
        <f>P11+$W$4</f>
        <v>-0.30053916792201196</v>
      </c>
      <c r="X11">
        <f>Q11+$X$4</f>
        <v>1.1707860745947061</v>
      </c>
      <c r="Y11" s="40" t="b">
        <f t="shared" si="4"/>
        <v>1</v>
      </c>
      <c r="Z11" s="40" t="b">
        <f>(W11^2+X11^2)&lt;=control!$B$2^2</f>
        <v>1</v>
      </c>
      <c r="AA11">
        <f>ROUND(ASIN(SQRT(W11^2+X11^2)/control!$B$2)/PI()*180,6)</f>
        <v>37.183691000000003</v>
      </c>
      <c r="AB11">
        <f>ROUND(ATAN2(W11,X11)/PI()*180,6)</f>
        <v>104.396896</v>
      </c>
      <c r="AC11" s="2">
        <f>ASIN((W11*$X$58-$W$58*X11)/(SQRT(W11^2+X11^2)*SQRT($W$58^2+$X$58^2)))/PI()*180</f>
        <v>-14.396896203522839</v>
      </c>
      <c r="AD11">
        <f>W11+$AD$4</f>
        <v>-0.30053916792201191</v>
      </c>
      <c r="AE11">
        <f>X11+$AE$4</f>
        <v>3.3286074594706117E-2</v>
      </c>
      <c r="AF11" s="40" t="b">
        <f t="shared" si="5"/>
        <v>0</v>
      </c>
      <c r="AG11" s="40" t="b">
        <f>(AD11^2+AE11^2)&lt;=control!$B$2^2</f>
        <v>1</v>
      </c>
      <c r="AH11">
        <f>ROUND(ASIN(SQRT(AD11^2+AE11^2)/control!$B$2)/PI()*180,6)</f>
        <v>8.6958040000000008</v>
      </c>
      <c r="AI11">
        <f t="shared" si="0"/>
        <v>173.67999</v>
      </c>
      <c r="AJ11" s="2">
        <f t="shared" si="1"/>
        <v>-60.731053143928854</v>
      </c>
    </row>
    <row r="12" spans="1:36" x14ac:dyDescent="0.3">
      <c r="A12">
        <v>90</v>
      </c>
      <c r="B12">
        <f>control!$B$3*COS('k1'!A12/180*PI())</f>
        <v>6.1257422745431001E-17</v>
      </c>
      <c r="C12">
        <f>control!$B$3*SIN('k1'!A12/180*PI())</f>
        <v>1</v>
      </c>
      <c r="D12">
        <v>90</v>
      </c>
      <c r="E12">
        <f>control!$B$2*COS('k1'!D12/180*PI())</f>
        <v>1.22514845490862E-16</v>
      </c>
      <c r="F12">
        <f>control!$B$2*SIN('k1'!D12/180*PI())</f>
        <v>2</v>
      </c>
      <c r="G12" s="1">
        <v>0.4</v>
      </c>
      <c r="H12">
        <f>G12*control!$C$9/2+control!$C$8</f>
        <v>4</v>
      </c>
      <c r="I12" s="1">
        <f>control!$B$3*TAN('k1'!$H$4/180*PI())/SQRT(1+TAN('k1'!$H$4/180*PI())^2+TAN('k1'!H12/180*PI())^2)</f>
        <v>-0.30003931119635729</v>
      </c>
      <c r="J12">
        <f>control!$B$3*TAN('k1'!H12/180*PI())/SQRT(1+TAN('k1'!$H$4/180*PI())^2+TAN('k1'!H12/180*PI())^2)</f>
        <v>6.6542572409755835E-2</v>
      </c>
      <c r="K12" s="40" t="b">
        <f t="shared" si="2"/>
        <v>0</v>
      </c>
      <c r="L12" s="40" t="b">
        <f>(I12^2+J12^2)&lt;=control!$B$2^2</f>
        <v>1</v>
      </c>
      <c r="M12">
        <f>ROUND(ASIN(SQRT(I12^2+J12^2)/control!$B$3)/PI()*180,6)</f>
        <v>17.898375000000001</v>
      </c>
      <c r="N12">
        <f>ROUND(ATAN2(I12,J12)/PI()*180,6)</f>
        <v>167.49536599999999</v>
      </c>
      <c r="O12" s="2">
        <f>ASIN((I12*$J$58-$I$58*J12)/(SQRT(I12^2+J12^2)*SQRT($I$58^2+$J$58^2)))/PI()*180</f>
        <v>77.495366244540094</v>
      </c>
      <c r="P12">
        <f>I12+$P$4</f>
        <v>-1.4375393111963573</v>
      </c>
      <c r="Q12">
        <f>J12+$Q$4</f>
        <v>6.6542572409755696E-2</v>
      </c>
      <c r="R12" s="40" t="b">
        <f t="shared" si="3"/>
        <v>1</v>
      </c>
      <c r="S12" s="40" t="b">
        <f>(P12^2+Q12^2)&lt;=control!$B$2^2</f>
        <v>1</v>
      </c>
      <c r="T12">
        <f>ROUND(ASIN(SQRT(P12^2+Q12^2)/control!$B$2)/PI()*180,6)</f>
        <v>46.016457000000003</v>
      </c>
      <c r="U12">
        <f>ROUND(ATAN2(P12,Q12)/PI()*180,6)</f>
        <v>177.349715</v>
      </c>
      <c r="V12" s="2">
        <f>ASIN((P12*$Q$58-$P$58*Q12)/(SQRT(P12^2+Q12^2)*SQRT($P$58^2+$Q$58^2)))/PI()*180</f>
        <v>2.6502850677609664</v>
      </c>
      <c r="W12">
        <f>P12+$W$4</f>
        <v>-0.30003931119635752</v>
      </c>
      <c r="X12">
        <f>Q12+$X$4</f>
        <v>1.2040425724097561</v>
      </c>
      <c r="Y12" s="40" t="b">
        <f t="shared" si="4"/>
        <v>1</v>
      </c>
      <c r="Z12" s="40" t="b">
        <f>(W12^2+X12^2)&lt;=control!$B$2^2</f>
        <v>1</v>
      </c>
      <c r="AA12">
        <f>ROUND(ASIN(SQRT(W12^2+X12^2)/control!$B$2)/PI()*180,6)</f>
        <v>38.347667999999999</v>
      </c>
      <c r="AB12">
        <f>ROUND(ATAN2(W12,X12)/PI()*180,6)</f>
        <v>103.992732</v>
      </c>
      <c r="AC12" s="2">
        <f>ASIN((W12*$X$58-$W$58*X12)/(SQRT(W12^2+X12^2)*SQRT($W$58^2+$X$58^2)))/PI()*180</f>
        <v>-13.992732187218058</v>
      </c>
      <c r="AD12">
        <f>W12+$AD$4</f>
        <v>-0.30003931119635746</v>
      </c>
      <c r="AE12">
        <f>X12+$AE$4</f>
        <v>6.654257240975614E-2</v>
      </c>
      <c r="AF12" s="40" t="b">
        <f t="shared" si="5"/>
        <v>0</v>
      </c>
      <c r="AG12" s="40" t="b">
        <f>(AD12^2+AE12^2)&lt;=control!$B$2^2</f>
        <v>1</v>
      </c>
      <c r="AH12">
        <f>ROUND(ASIN(SQRT(AD12^2+AE12^2)/control!$B$2)/PI()*180,6)</f>
        <v>8.8393680000000003</v>
      </c>
      <c r="AI12">
        <f t="shared" si="0"/>
        <v>167.49536599999999</v>
      </c>
      <c r="AJ12" s="2">
        <f t="shared" si="1"/>
        <v>-54.546428963616798</v>
      </c>
    </row>
    <row r="13" spans="1:36" x14ac:dyDescent="0.3">
      <c r="A13">
        <v>100</v>
      </c>
      <c r="B13">
        <f>control!$B$3*COS('k1'!A13/180*PI())</f>
        <v>-0.1736481776669303</v>
      </c>
      <c r="C13">
        <f>control!$B$3*SIN('k1'!A13/180*PI())</f>
        <v>0.98480775301220802</v>
      </c>
      <c r="D13">
        <v>100</v>
      </c>
      <c r="E13">
        <f>control!$B$2*COS('k1'!D13/180*PI())</f>
        <v>-0.34729635533386061</v>
      </c>
      <c r="F13">
        <f>control!$B$2*SIN('k1'!D13/180*PI())</f>
        <v>1.969615506024416</v>
      </c>
      <c r="G13" s="1">
        <v>0.6</v>
      </c>
      <c r="H13">
        <f>G13*control!$C$9/2+control!$C$8</f>
        <v>6</v>
      </c>
      <c r="I13" s="1">
        <f>control!$B$3*TAN('k1'!$H$4/180*PI())/SQRT(1+TAN('k1'!$H$4/180*PI())^2+TAN('k1'!H13/180*PI())^2)</f>
        <v>-0.29920634470024859</v>
      </c>
      <c r="J13">
        <f>control!$B$3*TAN('k1'!H13/180*PI())/SQRT(1+TAN('k1'!$H$4/180*PI())^2+TAN('k1'!H13/180*PI())^2)</f>
        <v>9.9739850438906014E-2</v>
      </c>
      <c r="K13" s="40" t="b">
        <f t="shared" si="2"/>
        <v>0</v>
      </c>
      <c r="L13" s="40" t="b">
        <f>(I13^2+J13^2)&lt;=control!$B$2^2</f>
        <v>1</v>
      </c>
      <c r="M13">
        <f>ROUND(ASIN(SQRT(I13^2+J13^2)/control!$B$3)/PI()*180,6)</f>
        <v>18.384515</v>
      </c>
      <c r="N13">
        <f>ROUND(ATAN2(I13,J13)/PI()*180,6)</f>
        <v>161.56429199999999</v>
      </c>
      <c r="O13" s="2">
        <f>ASIN((I13*$J$58-$I$58*J13)/(SQRT(I13^2+J13^2)*SQRT($I$58^2+$J$58^2)))/PI()*180</f>
        <v>71.564292489912305</v>
      </c>
      <c r="P13">
        <f>I13+$P$4</f>
        <v>-1.4367063447002486</v>
      </c>
      <c r="Q13">
        <f>J13+$Q$4</f>
        <v>9.9739850438905875E-2</v>
      </c>
      <c r="R13" s="40" t="b">
        <f t="shared" si="3"/>
        <v>1</v>
      </c>
      <c r="S13" s="40" t="b">
        <f>(P13^2+Q13^2)&lt;=control!$B$2^2</f>
        <v>1</v>
      </c>
      <c r="T13">
        <f>ROUND(ASIN(SQRT(P13^2+Q13^2)/control!$B$2)/PI()*180,6)</f>
        <v>46.061262999999997</v>
      </c>
      <c r="U13">
        <f>ROUND(ATAN2(P13,Q13)/PI()*180,6)</f>
        <v>176.028751</v>
      </c>
      <c r="V13" s="2">
        <f>ASIN((P13*$Q$58-$P$58*Q13)/(SQRT(P13^2+Q13^2)*SQRT($P$58^2+$Q$58^2)))/PI()*180</f>
        <v>3.9712487856960967</v>
      </c>
      <c r="W13">
        <f>P13+$W$4</f>
        <v>-0.29920634470024887</v>
      </c>
      <c r="X13">
        <f>Q13+$X$4</f>
        <v>1.2372398504389062</v>
      </c>
      <c r="Y13" s="40" t="b">
        <f t="shared" si="4"/>
        <v>1</v>
      </c>
      <c r="Z13" s="40" t="b">
        <f>(W13^2+X13^2)&lt;=control!$B$2^2</f>
        <v>1</v>
      </c>
      <c r="AA13">
        <f>ROUND(ASIN(SQRT(W13^2+X13^2)/control!$B$2)/PI()*180,6)</f>
        <v>39.527793000000003</v>
      </c>
      <c r="AB13">
        <f>ROUND(ATAN2(W13,X13)/PI()*180,6)</f>
        <v>103.595035</v>
      </c>
      <c r="AC13" s="2">
        <f>ASIN((W13*$X$58-$W$58*X13)/(SQRT(W13^2+X13^2)*SQRT($W$58^2+$X$58^2)))/PI()*180</f>
        <v>-13.595035434891459</v>
      </c>
      <c r="AD13">
        <f>W13+$AD$4</f>
        <v>-0.29920634470024882</v>
      </c>
      <c r="AE13">
        <f>X13+$AE$4</f>
        <v>9.9739850438906208E-2</v>
      </c>
      <c r="AF13" s="40" t="b">
        <f t="shared" si="5"/>
        <v>0</v>
      </c>
      <c r="AG13" s="40" t="b">
        <f>(AD13^2+AE13^2)&lt;=control!$B$2^2</f>
        <v>1</v>
      </c>
      <c r="AH13">
        <f>ROUND(ASIN(SQRT(AD13^2+AE13^2)/control!$B$2)/PI()*180,6)</f>
        <v>9.0732060000000008</v>
      </c>
      <c r="AI13">
        <f t="shared" si="0"/>
        <v>161.56429199999999</v>
      </c>
      <c r="AJ13" s="2">
        <f t="shared" si="1"/>
        <v>-48.615355208989001</v>
      </c>
    </row>
    <row r="14" spans="1:36" x14ac:dyDescent="0.3">
      <c r="A14">
        <v>110</v>
      </c>
      <c r="B14">
        <f>control!$B$3*COS('k1'!A14/180*PI())</f>
        <v>-0.34202014332566871</v>
      </c>
      <c r="C14">
        <f>control!$B$3*SIN('k1'!A14/180*PI())</f>
        <v>0.93969262078590843</v>
      </c>
      <c r="D14">
        <v>110</v>
      </c>
      <c r="E14">
        <f>control!$B$2*COS('k1'!D14/180*PI())</f>
        <v>-0.68404028665133743</v>
      </c>
      <c r="F14">
        <f>control!$B$2*SIN('k1'!D14/180*PI())</f>
        <v>1.8793852415718169</v>
      </c>
      <c r="G14" s="1">
        <v>0.8</v>
      </c>
      <c r="H14">
        <f>G14*control!$C$9/2+control!$C$8</f>
        <v>8</v>
      </c>
      <c r="I14" s="1">
        <f>control!$B$3*TAN('k1'!$H$4/180*PI())/SQRT(1+TAN('k1'!$H$4/180*PI())^2+TAN('k1'!H14/180*PI())^2)</f>
        <v>-0.29804046508194998</v>
      </c>
      <c r="J14">
        <f>control!$B$3*TAN('k1'!H14/180*PI())/SQRT(1+TAN('k1'!$H$4/180*PI())^2+TAN('k1'!H14/180*PI())^2)</f>
        <v>0.13284813394504671</v>
      </c>
      <c r="K14" s="40" t="b">
        <f t="shared" si="2"/>
        <v>0</v>
      </c>
      <c r="L14" s="40" t="b">
        <f>(I14^2+J14^2)&lt;=control!$B$2^2</f>
        <v>1</v>
      </c>
      <c r="M14">
        <f>ROUND(ASIN(SQRT(I14^2+J14^2)/control!$B$3)/PI()*180,6)</f>
        <v>19.044823000000001</v>
      </c>
      <c r="N14">
        <f>ROUND(ATAN2(I14,J14)/PI()*180,6)</f>
        <v>155.97562300000001</v>
      </c>
      <c r="O14" s="2">
        <f>ASIN((I14*$J$58-$I$58*J14)/(SQRT(I14^2+J14^2)*SQRT($I$58^2+$J$58^2)))/PI()*180</f>
        <v>65.975622908867265</v>
      </c>
      <c r="P14">
        <f>I14+$P$4</f>
        <v>-1.4355404650819499</v>
      </c>
      <c r="Q14">
        <f>J14+$Q$4</f>
        <v>0.13284813394504658</v>
      </c>
      <c r="R14" s="40" t="b">
        <f t="shared" si="3"/>
        <v>1</v>
      </c>
      <c r="S14" s="40" t="b">
        <f>(P14^2+Q14^2)&lt;=control!$B$2^2</f>
        <v>1</v>
      </c>
      <c r="T14">
        <f>ROUND(ASIN(SQRT(P14^2+Q14^2)/control!$B$2)/PI()*180,6)</f>
        <v>46.123643999999999</v>
      </c>
      <c r="U14">
        <f>ROUND(ATAN2(P14,Q14)/PI()*180,6)</f>
        <v>174.71277900000001</v>
      </c>
      <c r="V14" s="2">
        <f>ASIN((P14*$Q$58-$P$58*Q14)/(SQRT(P14^2+Q14^2)*SQRT($P$58^2+$Q$58^2)))/PI()*180</f>
        <v>5.2872208712552347</v>
      </c>
      <c r="W14">
        <f>P14+$W$4</f>
        <v>-0.29804046508195015</v>
      </c>
      <c r="X14">
        <f>Q14+$X$4</f>
        <v>1.2703481339450469</v>
      </c>
      <c r="Y14" s="40" t="b">
        <f t="shared" si="4"/>
        <v>1</v>
      </c>
      <c r="Z14" s="40" t="b">
        <f>(W14^2+X14^2)&lt;=control!$B$2^2</f>
        <v>1</v>
      </c>
      <c r="AA14">
        <f>ROUND(ASIN(SQRT(W14^2+X14^2)/control!$B$2)/PI()*180,6)</f>
        <v>40.724381999999999</v>
      </c>
      <c r="AB14">
        <f>ROUND(ATAN2(W14,X14)/PI()*180,6)</f>
        <v>103.203548</v>
      </c>
      <c r="AC14" s="2">
        <f>ASIN((W14*$X$58-$W$58*X14)/(SQRT(W14^2+X14^2)*SQRT($W$58^2+$X$58^2)))/PI()*180</f>
        <v>-13.203548258024082</v>
      </c>
      <c r="AD14">
        <f>W14+$AD$4</f>
        <v>-0.29804046508195009</v>
      </c>
      <c r="AE14">
        <f>X14+$AE$4</f>
        <v>0.13284813394504691</v>
      </c>
      <c r="AF14" s="40" t="b">
        <f t="shared" si="5"/>
        <v>0</v>
      </c>
      <c r="AG14" s="40" t="b">
        <f>(AD14^2+AE14^2)&lt;=control!$B$2^2</f>
        <v>1</v>
      </c>
      <c r="AH14">
        <f>ROUND(ASIN(SQRT(AD14^2+AE14^2)/control!$B$2)/PI()*180,6)</f>
        <v>9.3900059999999996</v>
      </c>
      <c r="AI14">
        <f t="shared" si="0"/>
        <v>155.97562300000001</v>
      </c>
      <c r="AJ14" s="2">
        <f t="shared" si="1"/>
        <v>-43.026685627943984</v>
      </c>
    </row>
    <row r="15" spans="1:36" x14ac:dyDescent="0.3">
      <c r="A15">
        <v>120</v>
      </c>
      <c r="B15">
        <f>control!$B$3*COS('k1'!A15/180*PI())</f>
        <v>-0.49999999999999978</v>
      </c>
      <c r="C15">
        <f>control!$B$3*SIN('k1'!A15/180*PI())</f>
        <v>0.86602540378443871</v>
      </c>
      <c r="D15">
        <v>120</v>
      </c>
      <c r="E15">
        <f>control!$B$2*COS('k1'!D15/180*PI())</f>
        <v>-0.99999999999999956</v>
      </c>
      <c r="F15">
        <f>control!$B$2*SIN('k1'!D15/180*PI())</f>
        <v>1.7320508075688774</v>
      </c>
      <c r="G15" s="1">
        <v>1</v>
      </c>
      <c r="H15">
        <f>G15*control!$C$9/2+control!$C$8</f>
        <v>10</v>
      </c>
      <c r="I15" s="7">
        <f>control!$B$3*TAN('k1'!$H$4/180*PI())/SQRT(1+TAN('k1'!$H$4/180*PI())^2+TAN('k1'!H15/180*PI())^2)</f>
        <v>-0.29654195678697232</v>
      </c>
      <c r="J15" s="6">
        <f>control!$B$3*TAN('k1'!H15/180*PI())/SQRT(1+TAN('k1'!$H$4/180*PI())^2+TAN('k1'!H15/180*PI())^2)</f>
        <v>0.16583745240358658</v>
      </c>
      <c r="K15" s="6" t="b">
        <f t="shared" si="2"/>
        <v>0</v>
      </c>
      <c r="L15" s="6" t="b">
        <f>(I15^2+J15^2)&lt;=control!$B$2^2</f>
        <v>1</v>
      </c>
      <c r="M15" s="6">
        <f>ROUND(ASIN(SQRT(I15^2+J15^2)/control!$B$3)/PI()*180,6)</f>
        <v>19.862462000000001</v>
      </c>
      <c r="N15" s="6">
        <f>ROUND(ATAN2(I15,J15)/PI()*180,6)</f>
        <v>150.78443200000001</v>
      </c>
      <c r="O15" s="8">
        <f>ASIN((I15*$J$58-$I$58*J15)/(SQRT(I15^2+J15^2)*SQRT($I$58^2+$J$58^2)))/PI()*180</f>
        <v>60.784432440197115</v>
      </c>
      <c r="P15" s="6">
        <f>I15+$P$4</f>
        <v>-1.4340419567869722</v>
      </c>
      <c r="Q15" s="6">
        <f>J15+$Q$4</f>
        <v>0.16583745240358644</v>
      </c>
      <c r="R15" s="6" t="b">
        <f t="shared" si="3"/>
        <v>1</v>
      </c>
      <c r="S15" s="6" t="b">
        <f>(P15^2+Q15^2)&lt;=control!$B$2^2</f>
        <v>1</v>
      </c>
      <c r="T15" s="6">
        <f>ROUND(ASIN(SQRT(P15^2+Q15^2)/control!$B$2)/PI()*180,6)</f>
        <v>46.203256000000003</v>
      </c>
      <c r="U15" s="6">
        <f>ROUND(ATAN2(P15,Q15)/PI()*180,6)</f>
        <v>173.403425</v>
      </c>
      <c r="V15" s="8">
        <f>ASIN((P15*$Q$58-$P$58*Q15)/(SQRT(P15^2+Q15^2)*SQRT($P$58^2+$Q$58^2)))/PI()*180</f>
        <v>6.5965752904719004</v>
      </c>
      <c r="W15" s="6">
        <f>P15+$W$4</f>
        <v>-0.29654195678697248</v>
      </c>
      <c r="X15" s="6">
        <f>Q15+$X$4</f>
        <v>1.3033374524035868</v>
      </c>
      <c r="Y15" s="6" t="b">
        <f t="shared" si="4"/>
        <v>1</v>
      </c>
      <c r="Z15" s="6" t="b">
        <f>(W15^2+X15^2)&lt;=control!$B$2^2</f>
        <v>1</v>
      </c>
      <c r="AA15" s="6">
        <f>ROUND(ASIN(SQRT(W15^2+X15^2)/control!$B$2)/PI()*180,6)</f>
        <v>41.937809999999999</v>
      </c>
      <c r="AB15" s="6">
        <f>ROUND(ATAN2(W15,X15)/PI()*180,6)</f>
        <v>102.81801400000001</v>
      </c>
      <c r="AC15" s="8">
        <f>ASIN((W15*$X$58-$W$58*X15)/(SQRT(W15^2+X15^2)*SQRT($W$58^2+$X$58^2)))/PI()*180</f>
        <v>-12.818013851032294</v>
      </c>
      <c r="AD15" s="6">
        <f>W15+$AD$4</f>
        <v>-0.29654195678697243</v>
      </c>
      <c r="AE15" s="6">
        <f>X15+$AE$4</f>
        <v>0.16583745240358683</v>
      </c>
      <c r="AF15" s="6" t="b">
        <f t="shared" si="5"/>
        <v>0</v>
      </c>
      <c r="AG15" s="6" t="b">
        <f>(AD15^2+AE15^2)&lt;=control!$B$2^2</f>
        <v>1</v>
      </c>
      <c r="AH15" s="6">
        <f>ROUND(ASIN(SQRT(AD15^2+AE15^2)/control!$B$2)/PI()*180,6)</f>
        <v>9.7809419999999996</v>
      </c>
      <c r="AI15" s="6">
        <f t="shared" si="0"/>
        <v>150.78443200000001</v>
      </c>
      <c r="AJ15" s="8">
        <f t="shared" si="1"/>
        <v>-37.835495159273805</v>
      </c>
    </row>
    <row r="16" spans="1:36" x14ac:dyDescent="0.3">
      <c r="A16">
        <v>130</v>
      </c>
      <c r="B16">
        <f>control!$B$3*COS('k1'!A16/180*PI())</f>
        <v>-0.64278760968653936</v>
      </c>
      <c r="C16">
        <f>control!$B$3*SIN('k1'!A16/180*PI())</f>
        <v>0.76604444311897801</v>
      </c>
      <c r="D16">
        <v>130</v>
      </c>
      <c r="E16">
        <f>control!$B$2*COS('k1'!D16/180*PI())</f>
        <v>-1.2855752193730787</v>
      </c>
      <c r="F16">
        <f>control!$B$2*SIN('k1'!D16/180*PI())</f>
        <v>1.532088886237956</v>
      </c>
      <c r="L16" s="40"/>
      <c r="S16" s="40"/>
    </row>
    <row r="17" spans="1:36" x14ac:dyDescent="0.3">
      <c r="A17">
        <v>140</v>
      </c>
      <c r="B17">
        <f>control!$B$3*COS('k1'!A17/180*PI())</f>
        <v>-0.7660444431189779</v>
      </c>
      <c r="C17">
        <f>control!$B$3*SIN('k1'!A17/180*PI())</f>
        <v>0.64278760968653947</v>
      </c>
      <c r="D17">
        <v>140</v>
      </c>
      <c r="E17">
        <f>control!$B$2*COS('k1'!D17/180*PI())</f>
        <v>-1.5320888862379558</v>
      </c>
      <c r="F17">
        <f>control!$B$2*SIN('k1'!D17/180*PI())</f>
        <v>1.2855752193730789</v>
      </c>
      <c r="G17" s="1" t="s">
        <v>16</v>
      </c>
      <c r="H17">
        <v>1</v>
      </c>
      <c r="L17" s="40"/>
      <c r="S17" s="40"/>
    </row>
    <row r="18" spans="1:36" x14ac:dyDescent="0.3">
      <c r="A18">
        <v>150</v>
      </c>
      <c r="B18">
        <f>control!$B$3*COS('k1'!A18/180*PI())</f>
        <v>-0.86602540378443871</v>
      </c>
      <c r="C18">
        <f>control!$B$3*SIN('k1'!A18/180*PI())</f>
        <v>0.49999999999999994</v>
      </c>
      <c r="D18">
        <v>150</v>
      </c>
      <c r="E18">
        <f>control!$B$2*COS('k1'!D18/180*PI())</f>
        <v>-1.7320508075688774</v>
      </c>
      <c r="F18">
        <f>control!$B$2*SIN('k1'!D18/180*PI())</f>
        <v>0.99999999999999989</v>
      </c>
      <c r="H18">
        <f>H17*control!$C$9/2+control!$C$8</f>
        <v>10</v>
      </c>
      <c r="L18" s="40"/>
      <c r="N18" s="6"/>
      <c r="S18" s="40"/>
      <c r="AJ18" s="8"/>
    </row>
    <row r="19" spans="1:36" x14ac:dyDescent="0.3">
      <c r="A19">
        <v>160</v>
      </c>
      <c r="B19">
        <f>control!$B$3*COS('k1'!A19/180*PI())</f>
        <v>-0.93969262078590832</v>
      </c>
      <c r="C19">
        <f>control!$B$3*SIN('k1'!A19/180*PI())</f>
        <v>0.34202014332566888</v>
      </c>
      <c r="D19">
        <v>160</v>
      </c>
      <c r="E19">
        <f>control!$B$2*COS('k1'!D19/180*PI())</f>
        <v>-1.8793852415718166</v>
      </c>
      <c r="F19">
        <f>control!$B$2*SIN('k1'!D19/180*PI())</f>
        <v>0.68404028665133776</v>
      </c>
      <c r="G19" s="1">
        <v>-1</v>
      </c>
      <c r="H19">
        <f>G19*control!$B$9/2+control!$B$8</f>
        <v>-17.5</v>
      </c>
      <c r="I19" s="4">
        <f>control!$B$3*TAN('k1'!H19/180*PI())/SQRT(1+TAN('k1'!H19/180*PI())^2+TAN('k1'!$H$18/180*PI())^2)</f>
        <v>-0.29654195678697232</v>
      </c>
      <c r="J19" s="3">
        <f>control!$B$3*TAN('k1'!$H$18/180*PI())/SQRT(1+TAN('k1'!H19/180*PI())^2+TAN('k1'!$H$18/180*PI())^2)</f>
        <v>0.16583745240358658</v>
      </c>
      <c r="K19" s="3" t="b">
        <f>(I19^2+J19^2)&gt;=1</f>
        <v>0</v>
      </c>
      <c r="L19" s="3" t="b">
        <f>(I19^2+J19^2)&lt;=control!$B$2^2</f>
        <v>1</v>
      </c>
      <c r="M19" s="3">
        <f>ROUND(ASIN(SQRT(I19^2+J19^2)/control!$B$3)/PI()*180,6)</f>
        <v>19.862462000000001</v>
      </c>
      <c r="N19">
        <f>ROUND(ATAN2(I19,J19)/PI()*180,6)</f>
        <v>150.78443200000001</v>
      </c>
      <c r="O19" s="5">
        <f>ASIN((I19*$J$58-$I$58*J19)/(SQRT(I19^2+J19^2)*SQRT($I$58^2+$J$58^2)))/PI()*180</f>
        <v>60.784432440197115</v>
      </c>
      <c r="P19" s="3">
        <f>I19+$P$4</f>
        <v>-1.4340419567869722</v>
      </c>
      <c r="Q19" s="3">
        <f>J19+$Q$4</f>
        <v>0.16583745240358644</v>
      </c>
      <c r="R19" s="3" t="b">
        <f>(P19^2+Q19^2)&gt;=1</f>
        <v>1</v>
      </c>
      <c r="S19" s="3" t="b">
        <f>(P19^2+Q19^2)&lt;=control!$B$2^2</f>
        <v>1</v>
      </c>
      <c r="T19" s="3">
        <f>ROUND(ASIN(SQRT(P19^2+Q19^2)/control!$B$2)/PI()*180,6)</f>
        <v>46.203256000000003</v>
      </c>
      <c r="U19" s="3">
        <f>ROUND(ATAN2(P19,Q19)/PI()*180,6)</f>
        <v>173.403425</v>
      </c>
      <c r="V19" s="5">
        <f>ASIN((P19*$Q$58-$P$58*Q19)/(SQRT(P19^2+Q19^2)*SQRT($P$58^2+$Q$58^2)))/PI()*180</f>
        <v>6.5965752904719004</v>
      </c>
      <c r="W19" s="3">
        <f>P19+$W$4</f>
        <v>-0.29654195678697248</v>
      </c>
      <c r="X19" s="3">
        <f>Q19+$X$4</f>
        <v>1.3033374524035868</v>
      </c>
      <c r="Y19" s="3" t="b">
        <f>(W19^2+X19^2)&gt;=1</f>
        <v>1</v>
      </c>
      <c r="Z19" s="3" t="b">
        <f>(W19^2+X19^2)&lt;=control!$B$2^2</f>
        <v>1</v>
      </c>
      <c r="AA19" s="3">
        <f>ROUND(ASIN(SQRT(W19^2+X19^2)/control!$B$2)/PI()*180,6)</f>
        <v>41.937809999999999</v>
      </c>
      <c r="AB19" s="3">
        <f>ROUND(ATAN2(W19,X19)/PI()*180,6)</f>
        <v>102.81801400000001</v>
      </c>
      <c r="AC19" s="5">
        <f>ASIN((W19*$X$58-$W$58*X19)/(SQRT(W19^2+X19^2)*SQRT($W$58^2+$X$58^2)))/PI()*180</f>
        <v>-12.818013851032294</v>
      </c>
      <c r="AD19" s="3">
        <f>W19+$AD$4</f>
        <v>-0.29654195678697243</v>
      </c>
      <c r="AE19" s="3">
        <f>X19+$AE$4</f>
        <v>0.16583745240358683</v>
      </c>
      <c r="AF19" s="3" t="b">
        <f>(AD19^2+AE19^2)&gt;=1</f>
        <v>0</v>
      </c>
      <c r="AG19" s="3" t="b">
        <f>(AD19^2+AE19^2)&lt;=control!$B$2^2</f>
        <v>1</v>
      </c>
      <c r="AH19" s="3">
        <f>ROUND(ASIN(SQRT(AD19^2+AE19^2)/control!$B$2)/PI()*180,6)</f>
        <v>9.7809419999999996</v>
      </c>
      <c r="AI19" s="3">
        <f t="shared" ref="AI19:AI29" si="6">ROUND(ATAN2(AD19,AE19)/PI()*180,6)</f>
        <v>150.78443200000001</v>
      </c>
      <c r="AJ19" s="5">
        <f>ASIN((AD19*$AE$58-$AD$58*AE19)/(SQRT(AD19^2+AE19^2)*SQRT($AD$58^2+$AE$58^2)))/PI()*180</f>
        <v>-37.835495159273805</v>
      </c>
    </row>
    <row r="20" spans="1:36" x14ac:dyDescent="0.3">
      <c r="A20">
        <v>170</v>
      </c>
      <c r="B20">
        <f>control!$B$3*COS('k1'!A20/180*PI())</f>
        <v>-0.98480775301220802</v>
      </c>
      <c r="C20">
        <f>control!$B$3*SIN('k1'!A20/180*PI())</f>
        <v>0.17364817766693069</v>
      </c>
      <c r="D20">
        <v>170</v>
      </c>
      <c r="E20">
        <f>control!$B$2*COS('k1'!D20/180*PI())</f>
        <v>-1.969615506024416</v>
      </c>
      <c r="F20">
        <f>control!$B$2*SIN('k1'!D20/180*PI())</f>
        <v>0.34729635533386138</v>
      </c>
      <c r="G20" s="1">
        <v>-0.8</v>
      </c>
      <c r="H20">
        <f>G20*control!$B$9/2+control!$B$8</f>
        <v>-14</v>
      </c>
      <c r="I20" s="1">
        <f>control!$B$3*TAN('k1'!H20/180*PI())/SQRT(1+TAN('k1'!H20/180*PI())^2+TAN('k1'!$H$18/180*PI())^2)</f>
        <v>-0.23845706356958102</v>
      </c>
      <c r="J20">
        <f>control!$B$3*TAN('k1'!$H$18/180*PI())/SQRT(1+TAN('k1'!H20/180*PI())^2+TAN('k1'!$H$18/180*PI())^2)</f>
        <v>0.16863895578659316</v>
      </c>
      <c r="K20" s="40" t="b">
        <f>(I20^2+J20^2)&gt;=1</f>
        <v>0</v>
      </c>
      <c r="L20" s="40" t="b">
        <f>(I20^2+J20^2)&lt;=control!$B$2^2</f>
        <v>1</v>
      </c>
      <c r="M20">
        <f>ROUND(ASIN(SQRT(I20^2+J20^2)/control!$B$3)/PI()*180,6)</f>
        <v>16.981513</v>
      </c>
      <c r="N20">
        <f>ROUND(ATAN2(I20,J20)/PI()*180,6)</f>
        <v>144.73170999999999</v>
      </c>
      <c r="O20" s="2">
        <f>ASIN((I20*$J$58-$I$58*J20)/(SQRT(I20^2+J20^2)*SQRT($I$58^2+$J$58^2)))/PI()*180</f>
        <v>54.731710148010386</v>
      </c>
      <c r="P20">
        <f>I20+$P$4</f>
        <v>-1.375957063569581</v>
      </c>
      <c r="Q20">
        <f>J20+$Q$4</f>
        <v>0.16863895578659302</v>
      </c>
      <c r="R20" s="40" t="b">
        <f>(P20^2+Q20^2)&gt;=1</f>
        <v>1</v>
      </c>
      <c r="S20" s="40" t="b">
        <f>(P20^2+Q20^2)&lt;=control!$B$2^2</f>
        <v>1</v>
      </c>
      <c r="T20">
        <f>ROUND(ASIN(SQRT(P20^2+Q20^2)/control!$B$2)/PI()*180,6)</f>
        <v>43.878104999999998</v>
      </c>
      <c r="U20">
        <f>ROUND(ATAN2(P20,Q20)/PI()*180,6)</f>
        <v>173.012608</v>
      </c>
      <c r="V20" s="2">
        <f>ASIN((P20*$Q$58-$P$58*Q20)/(SQRT(P20^2+Q20^2)*SQRT($P$58^2+$Q$58^2)))/PI()*180</f>
        <v>6.9873923789534764</v>
      </c>
      <c r="W20">
        <f>P20+$W$4</f>
        <v>-0.2384570635695813</v>
      </c>
      <c r="X20">
        <f>Q20+$X$4</f>
        <v>1.3061389557865934</v>
      </c>
      <c r="Y20" s="40" t="b">
        <f>(W20^2+X20^2)&gt;=1</f>
        <v>1</v>
      </c>
      <c r="Z20" s="40" t="b">
        <f>(W20^2+X20^2)&lt;=control!$B$2^2</f>
        <v>1</v>
      </c>
      <c r="AA20">
        <f>ROUND(ASIN(SQRT(W20^2+X20^2)/control!$B$2)/PI()*180,6)</f>
        <v>41.595221000000002</v>
      </c>
      <c r="AB20">
        <f>ROUND(ATAN2(W20,X20)/PI()*180,6)</f>
        <v>100.346338</v>
      </c>
      <c r="AC20" s="2">
        <f>ASIN((W20*$X$58-$W$58*X20)/(SQRT(W20^2+X20^2)*SQRT($W$58^2+$X$58^2)))/PI()*180</f>
        <v>-10.346337912578672</v>
      </c>
      <c r="AD20">
        <f>W20+$AD$4</f>
        <v>-0.23845706356958121</v>
      </c>
      <c r="AE20">
        <f>X20+$AE$4</f>
        <v>0.16863895578659349</v>
      </c>
      <c r="AF20" s="40" t="b">
        <f>(AD20^2+AE20^2)&gt;=1</f>
        <v>0</v>
      </c>
      <c r="AG20" s="40" t="b">
        <f>(AD20^2+AE20^2)&lt;=control!$B$2^2</f>
        <v>1</v>
      </c>
      <c r="AH20">
        <f>ROUND(ASIN(SQRT(AD20^2+AE20^2)/control!$B$2)/PI()*180,6)</f>
        <v>8.3970190000000002</v>
      </c>
      <c r="AI20">
        <f t="shared" si="6"/>
        <v>144.73170999999999</v>
      </c>
      <c r="AJ20" s="2">
        <f t="shared" ref="AJ20:AJ29" si="7">ASIN((AD20*$AE$58-$AD$58*AE20)/(SQRT(AD20^2+AE20^2)*SQRT($AD$58^2+$AE$58^2)))/PI()*180</f>
        <v>-31.7827728670871</v>
      </c>
    </row>
    <row r="21" spans="1:36" x14ac:dyDescent="0.3">
      <c r="A21">
        <v>180</v>
      </c>
      <c r="B21">
        <f>control!$B$3*COS('k1'!A21/180*PI())</f>
        <v>-1</v>
      </c>
      <c r="C21">
        <f>control!$B$3*SIN('k1'!A21/180*PI())</f>
        <v>1.22514845490862E-16</v>
      </c>
      <c r="D21">
        <v>180</v>
      </c>
      <c r="E21">
        <f>control!$B$2*COS('k1'!D21/180*PI())</f>
        <v>-2</v>
      </c>
      <c r="F21">
        <f>control!$B$2*SIN('k1'!D21/180*PI())</f>
        <v>2.45029690981724E-16</v>
      </c>
      <c r="G21" s="1">
        <v>-0.6</v>
      </c>
      <c r="H21">
        <f>G21*control!$B$9/2+control!$B$8</f>
        <v>-10.5</v>
      </c>
      <c r="I21" s="1">
        <f>control!$B$3*TAN('k1'!H21/180*PI())/SQRT(1+TAN('k1'!H21/180*PI())^2+TAN('k1'!$H$18/180*PI())^2)</f>
        <v>-0.1795568848144925</v>
      </c>
      <c r="J21">
        <f>control!$B$3*TAN('k1'!$H$18/180*PI())/SQRT(1+TAN('k1'!H21/180*PI())^2+TAN('k1'!$H$18/180*PI())^2)</f>
        <v>0.17082597666591404</v>
      </c>
      <c r="K21" s="40" t="b">
        <f t="shared" ref="K21:K29" si="8">(I21^2+J21^2)&gt;=1</f>
        <v>0</v>
      </c>
      <c r="L21" s="40" t="b">
        <f>(I21^2+J21^2)&lt;=control!$B$2^2</f>
        <v>1</v>
      </c>
      <c r="M21">
        <f>ROUND(ASIN(SQRT(I21^2+J21^2)/control!$B$3)/PI()*180,6)</f>
        <v>14.349436000000001</v>
      </c>
      <c r="N21">
        <f>ROUND(ATAN2(I21,J21)/PI()*180,6)</f>
        <v>136.427412</v>
      </c>
      <c r="O21" s="2">
        <f>ASIN((I21*$J$58-$I$58*J21)/(SQRT(I21^2+J21^2)*SQRT($I$58^2+$J$58^2)))/PI()*180</f>
        <v>46.427411968912921</v>
      </c>
      <c r="P21">
        <f>I21+$P$4</f>
        <v>-1.3170568848144923</v>
      </c>
      <c r="Q21">
        <f>J21+$Q$4</f>
        <v>0.1708259766659139</v>
      </c>
      <c r="R21" s="40" t="b">
        <f t="shared" ref="R21:R29" si="9">(P21^2+Q21^2)&gt;=1</f>
        <v>1</v>
      </c>
      <c r="S21" s="40" t="b">
        <f>(P21^2+Q21^2)&lt;=control!$B$2^2</f>
        <v>1</v>
      </c>
      <c r="T21">
        <f>ROUND(ASIN(SQRT(P21^2+Q21^2)/control!$B$2)/PI()*180,6)</f>
        <v>41.609062999999999</v>
      </c>
      <c r="U21">
        <f>ROUND(ATAN2(P21,Q21)/PI()*180,6)</f>
        <v>172.60983300000001</v>
      </c>
      <c r="V21" s="2">
        <f>ASIN((P21*$Q$58-$P$58*Q21)/(SQRT(P21^2+Q21^2)*SQRT($P$58^2+$Q$58^2)))/PI()*180</f>
        <v>7.390166651107636</v>
      </c>
      <c r="W21">
        <f>P21+$W$4</f>
        <v>-0.17955688481449261</v>
      </c>
      <c r="X21">
        <f>Q21+$X$4</f>
        <v>1.3083259766659143</v>
      </c>
      <c r="Y21" s="40" t="b">
        <f t="shared" ref="Y21:Y29" si="10">(W21^2+X21^2)&gt;=1</f>
        <v>1</v>
      </c>
      <c r="Z21" s="40" t="b">
        <f>(W21^2+X21^2)&lt;=control!$B$2^2</f>
        <v>1</v>
      </c>
      <c r="AA21">
        <f>ROUND(ASIN(SQRT(W21^2+X21^2)/control!$B$2)/PI()*180,6)</f>
        <v>41.322369000000002</v>
      </c>
      <c r="AB21">
        <f>ROUND(ATAN2(W21,X21)/PI()*180,6)</f>
        <v>97.814550999999994</v>
      </c>
      <c r="AC21" s="2">
        <f>ASIN((W21*$X$58-$W$58*X21)/(SQRT(W21^2+X21^2)*SQRT($W$58^2+$X$58^2)))/PI()*180</f>
        <v>-7.8145512711007088</v>
      </c>
      <c r="AD21">
        <f>W21+$AD$4</f>
        <v>-0.17955688481449253</v>
      </c>
      <c r="AE21">
        <f>X21+$AE$4</f>
        <v>0.17082597666591437</v>
      </c>
      <c r="AF21" s="40" t="b">
        <f t="shared" ref="AF21:AF29" si="11">(AD21^2+AE21^2)&gt;=1</f>
        <v>0</v>
      </c>
      <c r="AG21" s="40" t="b">
        <f>(AD21^2+AE21^2)&lt;=control!$B$2^2</f>
        <v>1</v>
      </c>
      <c r="AH21">
        <f>ROUND(ASIN(SQRT(AD21^2+AE21^2)/control!$B$2)/PI()*180,6)</f>
        <v>7.1182470000000002</v>
      </c>
      <c r="AI21">
        <f t="shared" si="6"/>
        <v>136.427412</v>
      </c>
      <c r="AJ21" s="2">
        <f t="shared" si="7"/>
        <v>-23.478474687989589</v>
      </c>
    </row>
    <row r="22" spans="1:36" x14ac:dyDescent="0.3">
      <c r="A22">
        <v>190</v>
      </c>
      <c r="B22">
        <f>control!$B$3*COS('k1'!A22/180*PI())</f>
        <v>-0.98480775301220802</v>
      </c>
      <c r="C22">
        <f>control!$B$3*SIN('k1'!A22/180*PI())</f>
        <v>-0.17364817766693047</v>
      </c>
      <c r="D22">
        <v>190</v>
      </c>
      <c r="E22">
        <f>control!$B$2*COS('k1'!D22/180*PI())</f>
        <v>-1.969615506024416</v>
      </c>
      <c r="F22">
        <f>control!$B$2*SIN('k1'!D22/180*PI())</f>
        <v>-0.34729635533386094</v>
      </c>
      <c r="G22" s="1">
        <v>-0.4</v>
      </c>
      <c r="H22">
        <f>G22*control!$B$9/2+control!$B$8</f>
        <v>-7</v>
      </c>
      <c r="I22" s="1">
        <f>control!$B$3*TAN('k1'!H22/180*PI())/SQRT(1+TAN('k1'!H22/180*PI())^2+TAN('k1'!$H$18/180*PI())^2)</f>
        <v>-0.12004475807606822</v>
      </c>
      <c r="J22">
        <f>control!$B$3*TAN('k1'!$H$18/180*PI())/SQRT(1+TAN('k1'!H22/180*PI())^2+TAN('k1'!$H$18/180*PI())^2)</f>
        <v>0.17239243750010019</v>
      </c>
      <c r="K22" s="40" t="b">
        <f t="shared" si="8"/>
        <v>0</v>
      </c>
      <c r="L22" s="40" t="b">
        <f>(I22^2+J22^2)&lt;=control!$B$2^2</f>
        <v>1</v>
      </c>
      <c r="M22">
        <f>ROUND(ASIN(SQRT(I22^2+J22^2)/control!$B$3)/PI()*180,6)</f>
        <v>12.126523000000001</v>
      </c>
      <c r="N22">
        <f>ROUND(ATAN2(I22,J22)/PI()*180,6)</f>
        <v>124.851264</v>
      </c>
      <c r="O22" s="2">
        <f>ASIN((I22*$J$58-$I$58*J22)/(SQRT(I22^2+J22^2)*SQRT($I$58^2+$J$58^2)))/PI()*180</f>
        <v>34.851263749451007</v>
      </c>
      <c r="P22">
        <f>I22+$P$4</f>
        <v>-1.2575447580760681</v>
      </c>
      <c r="Q22">
        <f>J22+$Q$4</f>
        <v>0.17239243750010005</v>
      </c>
      <c r="R22" s="40" t="b">
        <f t="shared" si="9"/>
        <v>1</v>
      </c>
      <c r="S22" s="40" t="b">
        <f>(P22^2+Q22^2)&lt;=control!$B$2^2</f>
        <v>1</v>
      </c>
      <c r="T22">
        <f>ROUND(ASIN(SQRT(P22^2+Q22^2)/control!$B$2)/PI()*180,6)</f>
        <v>39.394257000000003</v>
      </c>
      <c r="U22">
        <f>ROUND(ATAN2(P22,Q22)/PI()*180,6)</f>
        <v>172.194176</v>
      </c>
      <c r="V22" s="2">
        <f>ASIN((P22*$Q$58-$P$58*Q22)/(SQRT(P22^2+Q22^2)*SQRT($P$58^2+$Q$58^2)))/PI()*180</f>
        <v>7.8058242738904751</v>
      </c>
      <c r="W22">
        <f>P22+$W$4</f>
        <v>-0.1200447580760684</v>
      </c>
      <c r="X22">
        <f>Q22+$X$4</f>
        <v>1.3098924375001004</v>
      </c>
      <c r="Y22" s="40" t="b">
        <f t="shared" si="10"/>
        <v>1</v>
      </c>
      <c r="Z22" s="40" t="b">
        <f>(W22^2+X22^2)&lt;=control!$B$2^2</f>
        <v>1</v>
      </c>
      <c r="AA22">
        <f>ROUND(ASIN(SQRT(W22^2+X22^2)/control!$B$2)/PI()*180,6)</f>
        <v>41.124000000000002</v>
      </c>
      <c r="AB22">
        <f>ROUND(ATAN2(W22,X22)/PI()*180,6)</f>
        <v>95.236230000000006</v>
      </c>
      <c r="AC22" s="2">
        <f>ASIN((W22*$X$58-$W$58*X22)/(SQRT(W22^2+X22^2)*SQRT($W$58^2+$X$58^2)))/PI()*180</f>
        <v>-5.2362304968777913</v>
      </c>
      <c r="AD22">
        <f>W22+$AD$4</f>
        <v>-0.12004475807606833</v>
      </c>
      <c r="AE22">
        <f>X22+$AE$4</f>
        <v>0.17239243750010047</v>
      </c>
      <c r="AF22" s="40" t="b">
        <f t="shared" si="11"/>
        <v>0</v>
      </c>
      <c r="AG22" s="40" t="b">
        <f>(AD22^2+AE22^2)&lt;=control!$B$2^2</f>
        <v>1</v>
      </c>
      <c r="AH22">
        <f>ROUND(ASIN(SQRT(AD22^2+AE22^2)/control!$B$2)/PI()*180,6)</f>
        <v>6.029217</v>
      </c>
      <c r="AI22">
        <f t="shared" si="6"/>
        <v>124.851264</v>
      </c>
      <c r="AJ22" s="2">
        <f t="shared" si="7"/>
        <v>-11.902326468527724</v>
      </c>
    </row>
    <row r="23" spans="1:36" x14ac:dyDescent="0.3">
      <c r="A23">
        <v>200</v>
      </c>
      <c r="B23">
        <f>control!$B$3*COS('k1'!A23/180*PI())</f>
        <v>-0.93969262078590843</v>
      </c>
      <c r="C23">
        <f>control!$B$3*SIN('k1'!A23/180*PI())</f>
        <v>-0.34202014332566866</v>
      </c>
      <c r="D23">
        <v>200</v>
      </c>
      <c r="E23">
        <f>control!$B$2*COS('k1'!D23/180*PI())</f>
        <v>-1.8793852415718169</v>
      </c>
      <c r="F23">
        <f>control!$B$2*SIN('k1'!D23/180*PI())</f>
        <v>-0.68404028665133731</v>
      </c>
      <c r="G23" s="1">
        <v>-0.2</v>
      </c>
      <c r="H23">
        <f>G23*control!$B$9/2+control!$B$8</f>
        <v>-3.5</v>
      </c>
      <c r="I23" s="1">
        <f>control!$B$3*TAN('k1'!H23/180*PI())/SQRT(1+TAN('k1'!H23/180*PI())^2+TAN('k1'!$H$18/180*PI())^2)</f>
        <v>-6.0124453547445153E-2</v>
      </c>
      <c r="J23">
        <f>control!$B$3*TAN('k1'!$H$18/180*PI())/SQRT(1+TAN('k1'!H23/180*PI())^2+TAN('k1'!$H$18/180*PI())^2)</f>
        <v>0.17333402876925988</v>
      </c>
      <c r="K23" s="40" t="b">
        <f t="shared" si="8"/>
        <v>0</v>
      </c>
      <c r="L23" s="40" t="b">
        <f>(I23^2+J23^2)&lt;=control!$B$2^2</f>
        <v>1</v>
      </c>
      <c r="M23">
        <f>ROUND(ASIN(SQRT(I23^2+J23^2)/control!$B$3)/PI()*180,6)</f>
        <v>10.571688</v>
      </c>
      <c r="N23">
        <f>ROUND(ATAN2(I23,J23)/PI()*180,6)</f>
        <v>109.130149</v>
      </c>
      <c r="O23" s="2">
        <f>ASIN((I23*$J$58-$I$58*J23)/(SQRT(I23^2+J23^2)*SQRT($I$58^2+$J$58^2)))/PI()*180</f>
        <v>19.130149242486926</v>
      </c>
      <c r="P23">
        <f>I23+$P$4</f>
        <v>-1.1976244535474452</v>
      </c>
      <c r="Q23">
        <f>J23+$Q$4</f>
        <v>0.17333402876925974</v>
      </c>
      <c r="R23" s="40" t="b">
        <f t="shared" si="9"/>
        <v>1</v>
      </c>
      <c r="S23" s="40" t="b">
        <f>(P23^2+Q23^2)&lt;=control!$B$2^2</f>
        <v>1</v>
      </c>
      <c r="T23">
        <f>ROUND(ASIN(SQRT(P23^2+Q23^2)/control!$B$2)/PI()*180,6)</f>
        <v>37.232543999999997</v>
      </c>
      <c r="U23">
        <f>ROUND(ATAN2(P23,Q23)/PI()*180,6)</f>
        <v>171.764678</v>
      </c>
      <c r="V23" s="2">
        <f>ASIN((P23*$Q$58-$P$58*Q23)/(SQRT(P23^2+Q23^2)*SQRT($P$58^2+$Q$58^2)))/PI()*180</f>
        <v>8.2353216410057577</v>
      </c>
      <c r="W23">
        <f>P23+$W$4</f>
        <v>-6.0124453547445444E-2</v>
      </c>
      <c r="X23">
        <f>Q23+$X$4</f>
        <v>1.3108340287692601</v>
      </c>
      <c r="Y23" s="40" t="b">
        <f t="shared" si="10"/>
        <v>1</v>
      </c>
      <c r="Z23" s="40" t="b">
        <f>(W23^2+X23^2)&lt;=control!$B$2^2</f>
        <v>1</v>
      </c>
      <c r="AA23">
        <f>ROUND(ASIN(SQRT(W23^2+X23^2)/control!$B$2)/PI()*180,6)</f>
        <v>41.003573000000003</v>
      </c>
      <c r="AB23">
        <f>ROUND(ATAN2(W23,X23)/PI()*180,6)</f>
        <v>92.626164000000003</v>
      </c>
      <c r="AC23" s="2">
        <f>ASIN((W23*$X$58-$W$58*X23)/(SQRT(W23^2+X23^2)*SQRT($W$58^2+$X$58^2)))/PI()*180</f>
        <v>-2.626163657578457</v>
      </c>
      <c r="AD23">
        <f>W23+$AD$4</f>
        <v>-6.0124453547445375E-2</v>
      </c>
      <c r="AE23">
        <f>X23+$AE$4</f>
        <v>0.17333402876926018</v>
      </c>
      <c r="AF23" s="40" t="b">
        <f t="shared" si="11"/>
        <v>0</v>
      </c>
      <c r="AG23" s="40" t="b">
        <f>(AD23^2+AE23^2)&lt;=control!$B$2^2</f>
        <v>1</v>
      </c>
      <c r="AH23">
        <f>ROUND(ASIN(SQRT(AD23^2+AE23^2)/control!$B$2)/PI()*180,6)</f>
        <v>5.2633020000000004</v>
      </c>
      <c r="AI23">
        <f t="shared" si="6"/>
        <v>109.130149</v>
      </c>
      <c r="AJ23" s="2">
        <f t="shared" si="7"/>
        <v>3.8187880384363102</v>
      </c>
    </row>
    <row r="24" spans="1:36" x14ac:dyDescent="0.3">
      <c r="A24">
        <v>210</v>
      </c>
      <c r="B24">
        <f>control!$B$3*COS('k1'!A24/180*PI())</f>
        <v>-0.8660254037844386</v>
      </c>
      <c r="C24">
        <f>control!$B$3*SIN('k1'!A24/180*PI())</f>
        <v>-0.50000000000000011</v>
      </c>
      <c r="D24">
        <v>210</v>
      </c>
      <c r="E24">
        <f>control!$B$2*COS('k1'!D24/180*PI())</f>
        <v>-1.7320508075688772</v>
      </c>
      <c r="F24">
        <f>control!$B$2*SIN('k1'!D24/180*PI())</f>
        <v>-1.0000000000000002</v>
      </c>
      <c r="G24" s="1">
        <v>0</v>
      </c>
      <c r="H24">
        <f>G24*control!$B$9/2+control!$B$8</f>
        <v>0</v>
      </c>
      <c r="I24" s="1">
        <f>control!$B$3*TAN('k1'!H24/180*PI())/SQRT(1+TAN('k1'!H24/180*PI())^2+TAN('k1'!$H$18/180*PI())^2)</f>
        <v>0</v>
      </c>
      <c r="J24">
        <f>control!$B$3*TAN('k1'!$H$18/180*PI())/SQRT(1+TAN('k1'!H24/180*PI())^2+TAN('k1'!$H$18/180*PI())^2)</f>
        <v>0.17364817766693036</v>
      </c>
      <c r="K24" s="40" t="b">
        <f t="shared" si="8"/>
        <v>0</v>
      </c>
      <c r="L24" s="40" t="b">
        <f>(I24^2+J24^2)&lt;=control!$B$2^2</f>
        <v>1</v>
      </c>
      <c r="M24">
        <f>ROUND(ASIN(SQRT(I24^2+J24^2)/control!$B$3)/PI()*180,6)</f>
        <v>10</v>
      </c>
      <c r="N24">
        <f>ROUND(ATAN2(I24,J24)/PI()*180,6)</f>
        <v>90</v>
      </c>
      <c r="O24" s="2">
        <f>ASIN((I24*$J$58-$I$58*J24)/(SQRT(I24^2+J24^2)*SQRT($I$58^2+$J$58^2)))/PI()*180</f>
        <v>0</v>
      </c>
      <c r="P24">
        <f>I24+$P$4</f>
        <v>-1.1375</v>
      </c>
      <c r="Q24">
        <f>J24+$Q$4</f>
        <v>0.17364817766693022</v>
      </c>
      <c r="R24" s="40" t="b">
        <f t="shared" si="9"/>
        <v>1</v>
      </c>
      <c r="S24" s="40" t="b">
        <f>(P24^2+Q24^2)&lt;=control!$B$2^2</f>
        <v>1</v>
      </c>
      <c r="T24">
        <f>ROUND(ASIN(SQRT(P24^2+Q24^2)/control!$B$2)/PI()*180,6)</f>
        <v>35.123376999999998</v>
      </c>
      <c r="U24">
        <f>ROUND(ATAN2(P24,Q24)/PI()*180,6)</f>
        <v>171.32036600000001</v>
      </c>
      <c r="V24" s="2">
        <f>ASIN((P24*$Q$58-$P$58*Q24)/(SQRT(P24^2+Q24^2)*SQRT($P$58^2+$Q$58^2)))/PI()*180</f>
        <v>8.6796335950915307</v>
      </c>
      <c r="W24">
        <f>P24+$W$4</f>
        <v>0</v>
      </c>
      <c r="X24">
        <f>Q24+$X$4</f>
        <v>1.3111481776669307</v>
      </c>
      <c r="Y24" s="40" t="b">
        <f t="shared" si="10"/>
        <v>1</v>
      </c>
      <c r="Z24" s="40" t="b">
        <f>(W24^2+X24^2)&lt;=control!$B$2^2</f>
        <v>1</v>
      </c>
      <c r="AA24">
        <f>ROUND(ASIN(SQRT(W24^2+X24^2)/control!$B$2)/PI()*180,6)</f>
        <v>40.963194999999999</v>
      </c>
      <c r="AB24">
        <f>ROUND(ATAN2(W24,X24)/PI()*180,6)</f>
        <v>90</v>
      </c>
      <c r="AC24" s="2">
        <f>ASIN((W24*$X$58-$W$58*X24)/(SQRT(W24^2+X24^2)*SQRT($W$58^2+$X$58^2)))/PI()*180</f>
        <v>1.1184368110640934E-14</v>
      </c>
      <c r="AD24">
        <f>W24+$AD$4</f>
        <v>6.9680318372927763E-17</v>
      </c>
      <c r="AE24">
        <f>X24+$AE$4</f>
        <v>0.17364817766693075</v>
      </c>
      <c r="AF24" s="40" t="b">
        <f t="shared" si="11"/>
        <v>0</v>
      </c>
      <c r="AG24" s="40" t="b">
        <f>(AD24^2+AE24^2)&lt;=control!$B$2^2</f>
        <v>1</v>
      </c>
      <c r="AH24">
        <f>ROUND(ASIN(SQRT(AD24^2+AE24^2)/control!$B$2)/PI()*180,6)</f>
        <v>4.980925</v>
      </c>
      <c r="AI24">
        <f t="shared" si="6"/>
        <v>90</v>
      </c>
      <c r="AJ24" s="2">
        <f t="shared" si="7"/>
        <v>22.948937280923293</v>
      </c>
    </row>
    <row r="25" spans="1:36" x14ac:dyDescent="0.3">
      <c r="A25">
        <v>220</v>
      </c>
      <c r="B25">
        <f>control!$B$3*COS('k1'!A25/180*PI())</f>
        <v>-0.76604444311897801</v>
      </c>
      <c r="C25">
        <f>control!$B$3*SIN('k1'!A25/180*PI())</f>
        <v>-0.64278760968653925</v>
      </c>
      <c r="D25">
        <v>220</v>
      </c>
      <c r="E25">
        <f>control!$B$2*COS('k1'!D25/180*PI())</f>
        <v>-1.532088886237956</v>
      </c>
      <c r="F25">
        <f>control!$B$2*SIN('k1'!D25/180*PI())</f>
        <v>-1.2855752193730785</v>
      </c>
      <c r="G25" s="1">
        <v>0.2</v>
      </c>
      <c r="H25">
        <f>G25*control!$B$9/2+control!$B$8</f>
        <v>3.5</v>
      </c>
      <c r="I25" s="1">
        <f>control!$B$3*TAN('k1'!H25/180*PI())/SQRT(1+TAN('k1'!H25/180*PI())^2+TAN('k1'!$H$18/180*PI())^2)</f>
        <v>6.0124453547445153E-2</v>
      </c>
      <c r="J25">
        <f>control!$B$3*TAN('k1'!$H$18/180*PI())/SQRT(1+TAN('k1'!H25/180*PI())^2+TAN('k1'!$H$18/180*PI())^2)</f>
        <v>0.17333402876925988</v>
      </c>
      <c r="K25" s="40" t="b">
        <f t="shared" si="8"/>
        <v>0</v>
      </c>
      <c r="L25" s="40" t="b">
        <f>(I25^2+J25^2)&lt;=control!$B$2^2</f>
        <v>1</v>
      </c>
      <c r="M25">
        <f>ROUND(ASIN(SQRT(I25^2+J25^2)/control!$B$3)/PI()*180,6)</f>
        <v>10.571688</v>
      </c>
      <c r="N25">
        <f>ROUND(ATAN2(I25,J25)/PI()*180,6)</f>
        <v>70.869850999999997</v>
      </c>
      <c r="O25" s="2">
        <f>ASIN((I25*$J$58-$I$58*J25)/(SQRT(I25^2+J25^2)*SQRT($I$58^2+$J$58^2)))/PI()*180</f>
        <v>-19.130149242486926</v>
      </c>
      <c r="P25">
        <f>I25+$P$4</f>
        <v>-1.0773755464525547</v>
      </c>
      <c r="Q25">
        <f>J25+$Q$4</f>
        <v>0.17333402876925974</v>
      </c>
      <c r="R25" s="40" t="b">
        <f t="shared" si="9"/>
        <v>1</v>
      </c>
      <c r="S25" s="40" t="b">
        <f>(P25^2+Q25^2)&lt;=control!$B$2^2</f>
        <v>1</v>
      </c>
      <c r="T25">
        <f>ROUND(ASIN(SQRT(P25^2+Q25^2)/control!$B$2)/PI()*180,6)</f>
        <v>33.066698000000002</v>
      </c>
      <c r="U25">
        <f>ROUND(ATAN2(P25,Q25)/PI()*180,6)</f>
        <v>170.860265</v>
      </c>
      <c r="V25" s="2">
        <f>ASIN((P25*$Q$58-$P$58*Q25)/(SQRT(P25^2+Q25^2)*SQRT($P$58^2+$Q$58^2)))/PI()*180</f>
        <v>9.1397352089834936</v>
      </c>
      <c r="W25">
        <f>P25+$W$4</f>
        <v>6.0124453547445E-2</v>
      </c>
      <c r="X25">
        <f>Q25+$X$4</f>
        <v>1.3108340287692601</v>
      </c>
      <c r="Y25" s="40" t="b">
        <f t="shared" si="10"/>
        <v>1</v>
      </c>
      <c r="Z25" s="40" t="b">
        <f>(W25^2+X25^2)&lt;=control!$B$2^2</f>
        <v>1</v>
      </c>
      <c r="AA25">
        <f>ROUND(ASIN(SQRT(W25^2+X25^2)/control!$B$2)/PI()*180,6)</f>
        <v>41.003573000000003</v>
      </c>
      <c r="AB25">
        <f>ROUND(ATAN2(W25,X25)/PI()*180,6)</f>
        <v>87.373835999999997</v>
      </c>
      <c r="AC25" s="2">
        <f>ASIN((W25*$X$58-$W$58*X25)/(SQRT(W25^2+X25^2)*SQRT($W$58^2+$X$58^2)))/PI()*180</f>
        <v>2.6261636575784597</v>
      </c>
      <c r="AD25">
        <f>W25+$AD$4</f>
        <v>6.012445354744507E-2</v>
      </c>
      <c r="AE25">
        <f>X25+$AE$4</f>
        <v>0.17333402876926018</v>
      </c>
      <c r="AF25" s="40" t="b">
        <f t="shared" si="11"/>
        <v>0</v>
      </c>
      <c r="AG25" s="40" t="b">
        <f>(AD25^2+AE25^2)&lt;=control!$B$2^2</f>
        <v>1</v>
      </c>
      <c r="AH25">
        <f>ROUND(ASIN(SQRT(AD25^2+AE25^2)/control!$B$2)/PI()*180,6)</f>
        <v>5.2633020000000004</v>
      </c>
      <c r="AI25">
        <f t="shared" si="6"/>
        <v>70.869850999999997</v>
      </c>
      <c r="AJ25" s="2">
        <f t="shared" si="7"/>
        <v>42.079086523410126</v>
      </c>
    </row>
    <row r="26" spans="1:36" x14ac:dyDescent="0.3">
      <c r="A26">
        <v>230</v>
      </c>
      <c r="B26">
        <f>control!$B$3*COS('k1'!A26/180*PI())</f>
        <v>-0.64278760968653947</v>
      </c>
      <c r="C26">
        <f>control!$B$3*SIN('k1'!A26/180*PI())</f>
        <v>-0.7660444431189779</v>
      </c>
      <c r="D26">
        <v>230</v>
      </c>
      <c r="E26">
        <f>control!$B$2*COS('k1'!D26/180*PI())</f>
        <v>-1.2855752193730789</v>
      </c>
      <c r="F26">
        <f>control!$B$2*SIN('k1'!D26/180*PI())</f>
        <v>-1.5320888862379558</v>
      </c>
      <c r="G26" s="1">
        <v>0.4</v>
      </c>
      <c r="H26">
        <f>G26*control!$B$9/2+control!$B$8</f>
        <v>7</v>
      </c>
      <c r="I26" s="1">
        <f>control!$B$3*TAN('k1'!H26/180*PI())/SQRT(1+TAN('k1'!H26/180*PI())^2+TAN('k1'!$H$18/180*PI())^2)</f>
        <v>0.12004475807606822</v>
      </c>
      <c r="J26">
        <f>control!$B$3*TAN('k1'!$H$18/180*PI())/SQRT(1+TAN('k1'!H26/180*PI())^2+TAN('k1'!$H$18/180*PI())^2)</f>
        <v>0.17239243750010019</v>
      </c>
      <c r="K26" s="40" t="b">
        <f t="shared" si="8"/>
        <v>0</v>
      </c>
      <c r="L26" s="40" t="b">
        <f>(I26^2+J26^2)&lt;=control!$B$2^2</f>
        <v>1</v>
      </c>
      <c r="M26">
        <f>ROUND(ASIN(SQRT(I26^2+J26^2)/control!$B$3)/PI()*180,6)</f>
        <v>12.126523000000001</v>
      </c>
      <c r="N26">
        <f>ROUND(ATAN2(I26,J26)/PI()*180,6)</f>
        <v>55.148736</v>
      </c>
      <c r="O26" s="2">
        <f>ASIN((I26*$J$58-$I$58*J26)/(SQRT(I26^2+J26^2)*SQRT($I$58^2+$J$58^2)))/PI()*180</f>
        <v>-34.851263749451007</v>
      </c>
      <c r="P26">
        <f>I26+$P$4</f>
        <v>-1.0174552419239318</v>
      </c>
      <c r="Q26">
        <f>J26+$Q$4</f>
        <v>0.17239243750010005</v>
      </c>
      <c r="R26" s="40" t="b">
        <f t="shared" si="9"/>
        <v>1</v>
      </c>
      <c r="S26" s="40" t="b">
        <f>(P26^2+Q26^2)&lt;=control!$B$2^2</f>
        <v>1</v>
      </c>
      <c r="T26">
        <f>ROUND(ASIN(SQRT(P26^2+Q26^2)/control!$B$2)/PI()*180,6)</f>
        <v>31.062867000000001</v>
      </c>
      <c r="U26">
        <f>ROUND(ATAN2(P26,Q26)/PI()*180,6)</f>
        <v>170.38342499999999</v>
      </c>
      <c r="V26" s="2">
        <f>ASIN((P26*$Q$58-$P$58*Q26)/(SQRT(P26^2+Q26^2)*SQRT($P$58^2+$Q$58^2)))/PI()*180</f>
        <v>9.6165745383058212</v>
      </c>
      <c r="W26">
        <f>P26+$W$4</f>
        <v>0.12004475807606796</v>
      </c>
      <c r="X26">
        <f>Q26+$X$4</f>
        <v>1.3098924375001004</v>
      </c>
      <c r="Y26" s="40" t="b">
        <f t="shared" si="10"/>
        <v>1</v>
      </c>
      <c r="Z26" s="40" t="b">
        <f>(W26^2+X26^2)&lt;=control!$B$2^2</f>
        <v>1</v>
      </c>
      <c r="AA26">
        <f>ROUND(ASIN(SQRT(W26^2+X26^2)/control!$B$2)/PI()*180,6)</f>
        <v>41.124000000000002</v>
      </c>
      <c r="AB26">
        <f>ROUND(ATAN2(W26,X26)/PI()*180,6)</f>
        <v>84.763769999999994</v>
      </c>
      <c r="AC26" s="2">
        <f>ASIN((W26*$X$58-$W$58*X26)/(SQRT(W26^2+X26^2)*SQRT($W$58^2+$X$58^2)))/PI()*180</f>
        <v>5.236230496877794</v>
      </c>
      <c r="AD26">
        <f>W26+$AD$4</f>
        <v>0.12004475807606803</v>
      </c>
      <c r="AE26">
        <f>X26+$AE$4</f>
        <v>0.17239243750010047</v>
      </c>
      <c r="AF26" s="40" t="b">
        <f t="shared" si="11"/>
        <v>0</v>
      </c>
      <c r="AG26" s="40" t="b">
        <f>(AD26^2+AE26^2)&lt;=control!$B$2^2</f>
        <v>1</v>
      </c>
      <c r="AH26">
        <f>ROUND(ASIN(SQRT(AD26^2+AE26^2)/control!$B$2)/PI()*180,6)</f>
        <v>6.029217</v>
      </c>
      <c r="AI26">
        <f t="shared" si="6"/>
        <v>55.148736</v>
      </c>
      <c r="AJ26" s="2">
        <f t="shared" si="7"/>
        <v>57.800201030374183</v>
      </c>
    </row>
    <row r="27" spans="1:36" x14ac:dyDescent="0.3">
      <c r="A27">
        <v>240</v>
      </c>
      <c r="B27">
        <f>control!$B$3*COS('k1'!A27/180*PI())</f>
        <v>-0.50000000000000044</v>
      </c>
      <c r="C27">
        <f>control!$B$3*SIN('k1'!A27/180*PI())</f>
        <v>-0.86602540378443837</v>
      </c>
      <c r="D27">
        <v>240</v>
      </c>
      <c r="E27">
        <f>control!$B$2*COS('k1'!D27/180*PI())</f>
        <v>-1.0000000000000009</v>
      </c>
      <c r="F27">
        <f>control!$B$2*SIN('k1'!D27/180*PI())</f>
        <v>-1.7320508075688767</v>
      </c>
      <c r="G27" s="1">
        <v>0.6</v>
      </c>
      <c r="H27">
        <f>G27*control!$B$9/2+control!$B$8</f>
        <v>10.5</v>
      </c>
      <c r="I27" s="1">
        <f>control!$B$3*TAN('k1'!H27/180*PI())/SQRT(1+TAN('k1'!H27/180*PI())^2+TAN('k1'!$H$18/180*PI())^2)</f>
        <v>0.1795568848144925</v>
      </c>
      <c r="J27">
        <f>control!$B$3*TAN('k1'!$H$18/180*PI())/SQRT(1+TAN('k1'!H27/180*PI())^2+TAN('k1'!$H$18/180*PI())^2)</f>
        <v>0.17082597666591404</v>
      </c>
      <c r="K27" s="40" t="b">
        <f t="shared" si="8"/>
        <v>0</v>
      </c>
      <c r="L27" s="40" t="b">
        <f>(I27^2+J27^2)&lt;=control!$B$2^2</f>
        <v>1</v>
      </c>
      <c r="M27">
        <f>ROUND(ASIN(SQRT(I27^2+J27^2)/control!$B$3)/PI()*180,6)</f>
        <v>14.349436000000001</v>
      </c>
      <c r="N27">
        <f>ROUND(ATAN2(I27,J27)/PI()*180,6)</f>
        <v>43.572588000000003</v>
      </c>
      <c r="O27" s="2">
        <f>ASIN((I27*$J$58-$I$58*J27)/(SQRT(I27^2+J27^2)*SQRT($I$58^2+$J$58^2)))/PI()*180</f>
        <v>-46.427411968912921</v>
      </c>
      <c r="P27">
        <f>I27+$P$4</f>
        <v>-0.95794311518550745</v>
      </c>
      <c r="Q27">
        <f>J27+$Q$4</f>
        <v>0.1708259766659139</v>
      </c>
      <c r="R27" s="40" t="b">
        <f t="shared" si="9"/>
        <v>0</v>
      </c>
      <c r="S27" s="40" t="b">
        <f>(P27^2+Q27^2)&lt;=control!$B$2^2</f>
        <v>1</v>
      </c>
      <c r="T27">
        <f>ROUND(ASIN(SQRT(P27^2+Q27^2)/control!$B$2)/PI()*180,6)</f>
        <v>29.112607000000001</v>
      </c>
      <c r="U27">
        <f>ROUND(ATAN2(P27,Q27)/PI()*180,6)</f>
        <v>169.88896700000001</v>
      </c>
      <c r="V27" s="2">
        <f>ASIN((P27*$Q$58-$P$58*Q27)/(SQRT(P27^2+Q27^2)*SQRT($P$58^2+$Q$58^2)))/PI()*180</f>
        <v>10.111032748055113</v>
      </c>
      <c r="W27">
        <f>P27+$W$4</f>
        <v>0.17955688481449228</v>
      </c>
      <c r="X27">
        <f>Q27+$X$4</f>
        <v>1.3083259766659143</v>
      </c>
      <c r="Y27" s="40" t="b">
        <f t="shared" si="10"/>
        <v>1</v>
      </c>
      <c r="Z27" s="40" t="b">
        <f>(W27^2+X27^2)&lt;=control!$B$2^2</f>
        <v>1</v>
      </c>
      <c r="AA27">
        <f>ROUND(ASIN(SQRT(W27^2+X27^2)/control!$B$2)/PI()*180,6)</f>
        <v>41.322369000000002</v>
      </c>
      <c r="AB27">
        <f>ROUND(ATAN2(W27,X27)/PI()*180,6)</f>
        <v>82.185449000000006</v>
      </c>
      <c r="AC27" s="2">
        <f>ASIN((W27*$X$58-$W$58*X27)/(SQRT(W27^2+X27^2)*SQRT($W$58^2+$X$58^2)))/PI()*180</f>
        <v>7.814551271100715</v>
      </c>
      <c r="AD27">
        <f>W27+$AD$4</f>
        <v>0.17955688481449236</v>
      </c>
      <c r="AE27">
        <f>X27+$AE$4</f>
        <v>0.17082597666591437</v>
      </c>
      <c r="AF27" s="40" t="b">
        <f t="shared" si="11"/>
        <v>0</v>
      </c>
      <c r="AG27" s="40" t="b">
        <f>(AD27^2+AE27^2)&lt;=control!$B$2^2</f>
        <v>1</v>
      </c>
      <c r="AH27">
        <f>ROUND(ASIN(SQRT(AD27^2+AE27^2)/control!$B$2)/PI()*180,6)</f>
        <v>7.1182470000000002</v>
      </c>
      <c r="AI27">
        <f t="shared" si="6"/>
        <v>43.572588000000003</v>
      </c>
      <c r="AJ27" s="2">
        <f t="shared" si="7"/>
        <v>69.376349249836096</v>
      </c>
    </row>
    <row r="28" spans="1:36" x14ac:dyDescent="0.3">
      <c r="A28">
        <v>250</v>
      </c>
      <c r="B28">
        <f>control!$B$3*COS('k1'!A28/180*PI())</f>
        <v>-0.34202014332566938</v>
      </c>
      <c r="C28">
        <f>control!$B$3*SIN('k1'!A28/180*PI())</f>
        <v>-0.93969262078590821</v>
      </c>
      <c r="D28">
        <v>250</v>
      </c>
      <c r="E28">
        <f>control!$B$2*COS('k1'!D28/180*PI())</f>
        <v>-0.68404028665133876</v>
      </c>
      <c r="F28">
        <f>control!$B$2*SIN('k1'!D28/180*PI())</f>
        <v>-1.8793852415718164</v>
      </c>
      <c r="G28" s="1">
        <v>0.8</v>
      </c>
      <c r="H28">
        <f>G28*control!$B$9/2+control!$B$8</f>
        <v>14</v>
      </c>
      <c r="I28" s="1">
        <f>control!$B$3*TAN('k1'!H28/180*PI())/SQRT(1+TAN('k1'!H28/180*PI())^2+TAN('k1'!$H$18/180*PI())^2)</f>
        <v>0.23845706356958102</v>
      </c>
      <c r="J28">
        <f>control!$B$3*TAN('k1'!$H$18/180*PI())/SQRT(1+TAN('k1'!H28/180*PI())^2+TAN('k1'!$H$18/180*PI())^2)</f>
        <v>0.16863895578659316</v>
      </c>
      <c r="K28" s="40" t="b">
        <f t="shared" si="8"/>
        <v>0</v>
      </c>
      <c r="L28" s="40" t="b">
        <f>(I28^2+J28^2)&lt;=control!$B$2^2</f>
        <v>1</v>
      </c>
      <c r="M28">
        <f>ROUND(ASIN(SQRT(I28^2+J28^2)/control!$B$3)/PI()*180,6)</f>
        <v>16.981513</v>
      </c>
      <c r="N28">
        <f>ROUND(ATAN2(I28,J28)/PI()*180,6)</f>
        <v>35.26829</v>
      </c>
      <c r="O28" s="2">
        <f>ASIN((I28*$J$58-$I$58*J28)/(SQRT(I28^2+J28^2)*SQRT($I$58^2+$J$58^2)))/PI()*180</f>
        <v>-54.731710148010386</v>
      </c>
      <c r="P28">
        <f>I28+$P$4</f>
        <v>-0.89904293643041888</v>
      </c>
      <c r="Q28">
        <f>J28+$Q$4</f>
        <v>0.16863895578659302</v>
      </c>
      <c r="R28" s="40" t="b">
        <f t="shared" si="9"/>
        <v>0</v>
      </c>
      <c r="S28" s="40" t="b">
        <f>(P28^2+Q28^2)&lt;=control!$B$2^2</f>
        <v>1</v>
      </c>
      <c r="T28">
        <f>ROUND(ASIN(SQRT(P28^2+Q28^2)/control!$B$2)/PI()*180,6)</f>
        <v>27.216964999999998</v>
      </c>
      <c r="U28">
        <f>ROUND(ATAN2(P28,Q28)/PI()*180,6)</f>
        <v>169.37613300000001</v>
      </c>
      <c r="V28" s="2">
        <f>ASIN((P28*$Q$58-$P$58*Q28)/(SQRT(P28^2+Q28^2)*SQRT($P$58^2+$Q$58^2)))/PI()*180</f>
        <v>10.623866607946974</v>
      </c>
      <c r="W28">
        <f>P28+$W$4</f>
        <v>0.23845706356958085</v>
      </c>
      <c r="X28">
        <f>Q28+$X$4</f>
        <v>1.3061389557865934</v>
      </c>
      <c r="Y28" s="40" t="b">
        <f t="shared" si="10"/>
        <v>1</v>
      </c>
      <c r="Z28" s="40" t="b">
        <f>(W28^2+X28^2)&lt;=control!$B$2^2</f>
        <v>1</v>
      </c>
      <c r="AA28">
        <f>ROUND(ASIN(SQRT(W28^2+X28^2)/control!$B$2)/PI()*180,6)</f>
        <v>41.595221000000002</v>
      </c>
      <c r="AB28">
        <f>ROUND(ATAN2(W28,X28)/PI()*180,6)</f>
        <v>79.653661999999997</v>
      </c>
      <c r="AC28" s="2">
        <f>ASIN((W28*$X$58-$W$58*X28)/(SQRT(W28^2+X28^2)*SQRT($W$58^2+$X$58^2)))/PI()*180</f>
        <v>10.346337912578676</v>
      </c>
      <c r="AD28">
        <f>W28+$AD$4</f>
        <v>0.23845706356958093</v>
      </c>
      <c r="AE28">
        <f>X28+$AE$4</f>
        <v>0.16863895578659349</v>
      </c>
      <c r="AF28" s="40" t="b">
        <f t="shared" si="11"/>
        <v>0</v>
      </c>
      <c r="AG28" s="40" t="b">
        <f>(AD28^2+AE28^2)&lt;=control!$B$2^2</f>
        <v>1</v>
      </c>
      <c r="AH28">
        <f>ROUND(ASIN(SQRT(AD28^2+AE28^2)/control!$B$2)/PI()*180,6)</f>
        <v>8.3970190000000002</v>
      </c>
      <c r="AI28">
        <f t="shared" si="6"/>
        <v>35.26829</v>
      </c>
      <c r="AJ28" s="2">
        <f t="shared" si="7"/>
        <v>77.680647428933568</v>
      </c>
    </row>
    <row r="29" spans="1:36" x14ac:dyDescent="0.3">
      <c r="A29">
        <v>260</v>
      </c>
      <c r="B29">
        <f>control!$B$3*COS('k1'!A29/180*PI())</f>
        <v>-0.17364817766693033</v>
      </c>
      <c r="C29">
        <f>control!$B$3*SIN('k1'!A29/180*PI())</f>
        <v>-0.98480775301220802</v>
      </c>
      <c r="D29">
        <v>260</v>
      </c>
      <c r="E29">
        <f>control!$B$2*COS('k1'!D29/180*PI())</f>
        <v>-0.34729635533386066</v>
      </c>
      <c r="F29">
        <f>control!$B$2*SIN('k1'!D29/180*PI())</f>
        <v>-1.969615506024416</v>
      </c>
      <c r="G29" s="1">
        <v>1</v>
      </c>
      <c r="H29">
        <f>G29*control!$B$9/2+control!$B$8</f>
        <v>17.5</v>
      </c>
      <c r="I29" s="7">
        <f>control!$B$3*TAN('k1'!H29/180*PI())/SQRT(1+TAN('k1'!H29/180*PI())^2+TAN('k1'!$H$18/180*PI())^2)</f>
        <v>0.29654195678697232</v>
      </c>
      <c r="J29" s="6">
        <f>control!$B$3*TAN('k1'!$H$18/180*PI())/SQRT(1+TAN('k1'!H29/180*PI())^2+TAN('k1'!$H$18/180*PI())^2)</f>
        <v>0.16583745240358658</v>
      </c>
      <c r="K29" s="6" t="b">
        <f t="shared" si="8"/>
        <v>0</v>
      </c>
      <c r="L29" s="6" t="b">
        <f>(I29^2+J29^2)&lt;=control!$B$2^2</f>
        <v>1</v>
      </c>
      <c r="M29" s="6">
        <f>ROUND(ASIN(SQRT(I29^2+J29^2)/control!$B$3)/PI()*180,6)</f>
        <v>19.862462000000001</v>
      </c>
      <c r="N29" s="6">
        <f>ROUND(ATAN2(I29,J29)/PI()*180,6)</f>
        <v>29.215568000000001</v>
      </c>
      <c r="O29" s="8">
        <f>ASIN((I29*$J$58-$I$58*J29)/(SQRT(I29^2+J29^2)*SQRT($I$58^2+$J$58^2)))/PI()*180</f>
        <v>-60.784432440197115</v>
      </c>
      <c r="P29" s="6">
        <f>I29+$P$4</f>
        <v>-0.8409580432130277</v>
      </c>
      <c r="Q29" s="6">
        <f>J29+$Q$4</f>
        <v>0.16583745240358644</v>
      </c>
      <c r="R29" s="6" t="b">
        <f t="shared" si="9"/>
        <v>0</v>
      </c>
      <c r="S29" s="6" t="b">
        <f>(P29^2+Q29^2)&lt;=control!$B$2^2</f>
        <v>1</v>
      </c>
      <c r="T29" s="6">
        <f>ROUND(ASIN(SQRT(P29^2+Q29^2)/control!$B$2)/PI()*180,6)</f>
        <v>25.377278</v>
      </c>
      <c r="U29" s="6">
        <f>ROUND(ATAN2(P29,Q29)/PI()*180,6)</f>
        <v>168.84437399999999</v>
      </c>
      <c r="V29" s="8">
        <f>ASIN((P29*$Q$58-$P$58*Q29)/(SQRT(P29^2+Q29^2)*SQRT($P$58^2+$Q$58^2)))/PI()*180</f>
        <v>11.155626386958538</v>
      </c>
      <c r="W29" s="6">
        <f>P29+$W$4</f>
        <v>0.29654195678697204</v>
      </c>
      <c r="X29" s="6">
        <f>Q29+$X$4</f>
        <v>1.3033374524035868</v>
      </c>
      <c r="Y29" s="6" t="b">
        <f t="shared" si="10"/>
        <v>1</v>
      </c>
      <c r="Z29" s="6" t="b">
        <f>(W29^2+X29^2)&lt;=control!$B$2^2</f>
        <v>1</v>
      </c>
      <c r="AA29" s="6">
        <f>ROUND(ASIN(SQRT(W29^2+X29^2)/control!$B$2)/PI()*180,6)</f>
        <v>41.937809999999999</v>
      </c>
      <c r="AB29" s="6">
        <f>ROUND(ATAN2(W29,X29)/PI()*180,6)</f>
        <v>77.181985999999995</v>
      </c>
      <c r="AC29" s="8">
        <f>ASIN((W29*$X$58-$W$58*X29)/(SQRT(W29^2+X29^2)*SQRT($W$58^2+$X$58^2)))/PI()*180</f>
        <v>12.818013851032301</v>
      </c>
      <c r="AD29" s="6">
        <f>W29+$AD$4</f>
        <v>0.29654195678697209</v>
      </c>
      <c r="AE29" s="6">
        <f>X29+$AE$4</f>
        <v>0.16583745240358683</v>
      </c>
      <c r="AF29" s="6" t="b">
        <f t="shared" si="11"/>
        <v>0</v>
      </c>
      <c r="AG29" s="6" t="b">
        <f>(AD29^2+AE29^2)&lt;=control!$B$2^2</f>
        <v>1</v>
      </c>
      <c r="AH29" s="6">
        <f>ROUND(ASIN(SQRT(AD29^2+AE29^2)/control!$B$2)/PI()*180,6)</f>
        <v>9.7809419999999996</v>
      </c>
      <c r="AI29" s="6">
        <f t="shared" si="6"/>
        <v>29.215568000000001</v>
      </c>
      <c r="AJ29" s="8">
        <f t="shared" si="7"/>
        <v>83.733369721120425</v>
      </c>
    </row>
    <row r="30" spans="1:36" x14ac:dyDescent="0.3">
      <c r="A30">
        <v>270</v>
      </c>
      <c r="B30">
        <f>control!$B$3*COS('k1'!A30/180*PI())</f>
        <v>-1.83772268236293E-16</v>
      </c>
      <c r="C30">
        <f>control!$B$3*SIN('k1'!A30/180*PI())</f>
        <v>-1</v>
      </c>
      <c r="D30">
        <v>270</v>
      </c>
      <c r="E30">
        <f>control!$B$2*COS('k1'!D30/180*PI())</f>
        <v>-3.67544536472586E-16</v>
      </c>
      <c r="F30">
        <f>control!$B$2*SIN('k1'!D30/180*PI())</f>
        <v>-2</v>
      </c>
      <c r="L30" s="40"/>
      <c r="S30" s="40"/>
      <c r="AJ30" s="5"/>
    </row>
    <row r="31" spans="1:36" x14ac:dyDescent="0.3">
      <c r="A31">
        <v>280</v>
      </c>
      <c r="B31">
        <f>control!$B$3*COS('k1'!A31/180*PI())</f>
        <v>0.17364817766692997</v>
      </c>
      <c r="C31">
        <f>control!$B$3*SIN('k1'!A31/180*PI())</f>
        <v>-0.98480775301220813</v>
      </c>
      <c r="D31">
        <v>280</v>
      </c>
      <c r="E31">
        <f>control!$B$2*COS('k1'!D31/180*PI())</f>
        <v>0.34729635533385994</v>
      </c>
      <c r="F31">
        <f>control!$B$2*SIN('k1'!D31/180*PI())</f>
        <v>-1.9696155060244163</v>
      </c>
      <c r="G31" s="1" t="s">
        <v>13</v>
      </c>
      <c r="H31">
        <v>1</v>
      </c>
      <c r="L31" s="40"/>
      <c r="S31" s="40"/>
    </row>
    <row r="32" spans="1:36" x14ac:dyDescent="0.3">
      <c r="A32">
        <v>290</v>
      </c>
      <c r="B32">
        <f>control!$B$3*COS('k1'!A32/180*PI())</f>
        <v>0.34202014332566899</v>
      </c>
      <c r="C32">
        <f>control!$B$3*SIN('k1'!A32/180*PI())</f>
        <v>-0.93969262078590832</v>
      </c>
      <c r="D32">
        <v>290</v>
      </c>
      <c r="E32">
        <f>control!$B$2*COS('k1'!D32/180*PI())</f>
        <v>0.68404028665133798</v>
      </c>
      <c r="F32">
        <f>control!$B$2*SIN('k1'!D32/180*PI())</f>
        <v>-1.8793852415718166</v>
      </c>
      <c r="H32">
        <f>H31*control!$B$9/2+control!$B$8</f>
        <v>17.5</v>
      </c>
      <c r="L32" s="40"/>
      <c r="N32" s="6"/>
      <c r="S32" s="40"/>
      <c r="AJ32" s="8"/>
    </row>
    <row r="33" spans="1:36" x14ac:dyDescent="0.3">
      <c r="A33">
        <v>300</v>
      </c>
      <c r="B33">
        <f>control!$B$3*COS('k1'!A33/180*PI())</f>
        <v>0.50000000000000011</v>
      </c>
      <c r="C33">
        <f>control!$B$3*SIN('k1'!A33/180*PI())</f>
        <v>-0.8660254037844386</v>
      </c>
      <c r="D33">
        <v>300</v>
      </c>
      <c r="E33">
        <f>control!$B$2*COS('k1'!D33/180*PI())</f>
        <v>1.0000000000000002</v>
      </c>
      <c r="F33">
        <f>control!$B$2*SIN('k1'!D33/180*PI())</f>
        <v>-1.7320508075688772</v>
      </c>
      <c r="G33" s="1">
        <v>1</v>
      </c>
      <c r="H33">
        <f>G33*control!$C$9/2+control!$C$8</f>
        <v>10</v>
      </c>
      <c r="I33" s="4">
        <f>control!$B$3*TAN('k1'!$H$32/180*PI())/SQRT(1+TAN('k1'!$H$32/180*PI())^2+TAN('k1'!H33/180*PI())^2)</f>
        <v>0.29654195678697232</v>
      </c>
      <c r="J33" s="3">
        <f>control!$B$3*TAN('k1'!H33/180*PI())/SQRT(1+TAN('k1'!$H$32/180*PI())^2+TAN('k1'!H33/180*PI())^2)</f>
        <v>0.16583745240358658</v>
      </c>
      <c r="K33" s="3" t="b">
        <f>(I33^2+J33^2)&gt;=1</f>
        <v>0</v>
      </c>
      <c r="L33" s="3" t="b">
        <f>(I33^2+J33^2)&lt;=control!$B$2^2</f>
        <v>1</v>
      </c>
      <c r="M33" s="3">
        <f>ROUND(ASIN(SQRT(I33^2+J33^2)/control!$B$3)/PI()*180,6)</f>
        <v>19.862462000000001</v>
      </c>
      <c r="N33">
        <f>ROUND(ATAN2(I33,J33)/PI()*180,6)</f>
        <v>29.215568000000001</v>
      </c>
      <c r="O33" s="5">
        <f>ASIN((I33*$J$58-$I$58*J33)/(SQRT(I33^2+J33^2)*SQRT($I$58^2+$J$58^2)))/PI()*180</f>
        <v>-60.784432440197115</v>
      </c>
      <c r="P33" s="3">
        <f>I33+$P$4</f>
        <v>-0.8409580432130277</v>
      </c>
      <c r="Q33" s="3">
        <f>J33+$Q$4</f>
        <v>0.16583745240358644</v>
      </c>
      <c r="R33" s="3" t="b">
        <f>(P33^2+Q33^2)&gt;=1</f>
        <v>0</v>
      </c>
      <c r="S33" s="3" t="b">
        <f>(P33^2+Q33^2)&lt;=control!$B$2^2</f>
        <v>1</v>
      </c>
      <c r="T33" s="3">
        <f>ROUND(ASIN(SQRT(P33^2+Q33^2)/control!$B$2)/PI()*180,6)</f>
        <v>25.377278</v>
      </c>
      <c r="U33" s="3">
        <f>ROUND(ATAN2(P33,Q33)/PI()*180,6)</f>
        <v>168.84437399999999</v>
      </c>
      <c r="V33" s="5">
        <f>ASIN((P33*$Q$58-$P$58*Q33)/(SQRT(P33^2+Q33^2)*SQRT($P$58^2+$Q$58^2)))/PI()*180</f>
        <v>11.155626386958538</v>
      </c>
      <c r="W33" s="3">
        <f>P33+$W$4</f>
        <v>0.29654195678697204</v>
      </c>
      <c r="X33" s="3">
        <f>Q33+$X$4</f>
        <v>1.3033374524035868</v>
      </c>
      <c r="Y33" s="3" t="b">
        <f>(W33^2+X33^2)&gt;=1</f>
        <v>1</v>
      </c>
      <c r="Z33" s="3" t="b">
        <f>(W33^2+X33^2)&lt;=control!$B$2^2</f>
        <v>1</v>
      </c>
      <c r="AA33" s="3">
        <f>ROUND(ASIN(SQRT(W33^2+X33^2)/control!$B$2)/PI()*180,6)</f>
        <v>41.937809999999999</v>
      </c>
      <c r="AB33" s="3">
        <f>ROUND(ATAN2(W33,X33)/PI()*180,6)</f>
        <v>77.181985999999995</v>
      </c>
      <c r="AC33" s="5">
        <f>ASIN((W33*$X$58-$W$58*X33)/(SQRT(W33^2+X33^2)*SQRT($W$58^2+$X$58^2)))/PI()*180</f>
        <v>12.818013851032301</v>
      </c>
      <c r="AD33" s="3">
        <f>W33+$AD$4</f>
        <v>0.29654195678697209</v>
      </c>
      <c r="AE33" s="3">
        <f>X33+$AE$4</f>
        <v>0.16583745240358683</v>
      </c>
      <c r="AF33" s="3" t="b">
        <f>(AD33^2+AE33^2)&gt;=1</f>
        <v>0</v>
      </c>
      <c r="AG33" s="3" t="b">
        <f>(AD33^2+AE33^2)&lt;=control!$B$2^2</f>
        <v>1</v>
      </c>
      <c r="AH33" s="3">
        <f>ROUND(ASIN(SQRT(AD33^2+AE33^2)/control!$B$2)/PI()*180,6)</f>
        <v>9.7809419999999996</v>
      </c>
      <c r="AI33" s="3">
        <f>ROUND(ATAN2(AD33,AE33)/PI()*180,6)</f>
        <v>29.215568000000001</v>
      </c>
      <c r="AJ33" s="5">
        <f>ASIN((AD33*$AE$58-$AD$58*AE33)/(SQRT(AD33^2+AE33^2)*SQRT($AD$58^2+$AE$58^2)))/PI()*180</f>
        <v>83.733369721120425</v>
      </c>
    </row>
    <row r="34" spans="1:36" x14ac:dyDescent="0.3">
      <c r="A34">
        <v>310</v>
      </c>
      <c r="B34">
        <f>control!$B$3*COS('k1'!A34/180*PI())</f>
        <v>0.64278760968653925</v>
      </c>
      <c r="C34">
        <f>control!$B$3*SIN('k1'!A34/180*PI())</f>
        <v>-0.76604444311897812</v>
      </c>
      <c r="D34">
        <v>310</v>
      </c>
      <c r="E34">
        <f>control!$B$2*COS('k1'!D34/180*PI())</f>
        <v>1.2855752193730785</v>
      </c>
      <c r="F34">
        <f>control!$B$2*SIN('k1'!D34/180*PI())</f>
        <v>-1.5320888862379562</v>
      </c>
      <c r="G34" s="1">
        <v>0.8</v>
      </c>
      <c r="H34">
        <f>G34*control!$C$9/2+control!$C$8</f>
        <v>8</v>
      </c>
      <c r="I34" s="1">
        <f>control!$B$3*TAN('k1'!$H$32/180*PI())/SQRT(1+TAN('k1'!$H$32/180*PI())^2+TAN('k1'!H34/180*PI())^2)</f>
        <v>0.29804046508194998</v>
      </c>
      <c r="J34">
        <f>control!$B$3*TAN('k1'!H34/180*PI())/SQRT(1+TAN('k1'!$H$32/180*PI())^2+TAN('k1'!H34/180*PI())^2)</f>
        <v>0.13284813394504671</v>
      </c>
      <c r="K34" s="40" t="b">
        <f>(I34^2+J34^2)&gt;=1</f>
        <v>0</v>
      </c>
      <c r="L34" s="40" t="b">
        <f>(I34^2+J34^2)&lt;=control!$B$2^2</f>
        <v>1</v>
      </c>
      <c r="M34">
        <f>ROUND(ASIN(SQRT(I34^2+J34^2)/control!$B$3)/PI()*180,6)</f>
        <v>19.044823000000001</v>
      </c>
      <c r="N34">
        <f>ROUND(ATAN2(I34,J34)/PI()*180,6)</f>
        <v>24.024377000000001</v>
      </c>
      <c r="O34" s="2">
        <f>ASIN((I34*$J$58-$I$58*J34)/(SQRT(I34^2+J34^2)*SQRT($I$58^2+$J$58^2)))/PI()*180</f>
        <v>-65.975622908867265</v>
      </c>
      <c r="P34">
        <f>I34+$P$4</f>
        <v>-0.83945953491805003</v>
      </c>
      <c r="Q34">
        <f>J34+$Q$4</f>
        <v>0.13284813394504658</v>
      </c>
      <c r="R34" s="40" t="b">
        <f>(P34^2+Q34^2)&gt;=1</f>
        <v>0</v>
      </c>
      <c r="S34" s="40" t="b">
        <f>(P34^2+Q34^2)&lt;=control!$B$2^2</f>
        <v>1</v>
      </c>
      <c r="T34">
        <f>ROUND(ASIN(SQRT(P34^2+Q34^2)/control!$B$2)/PI()*180,6)</f>
        <v>25.147701999999999</v>
      </c>
      <c r="U34">
        <f>ROUND(ATAN2(P34,Q34)/PI()*180,6)</f>
        <v>171.007271</v>
      </c>
      <c r="V34" s="2">
        <f>ASIN((P34*$Q$58-$P$58*Q34)/(SQRT(P34^2+Q34^2)*SQRT($P$58^2+$Q$58^2)))/PI()*180</f>
        <v>8.9927293560265529</v>
      </c>
      <c r="W34">
        <f>P34+$W$4</f>
        <v>0.2980404650819497</v>
      </c>
      <c r="X34">
        <f>Q34+$X$4</f>
        <v>1.2703481339450469</v>
      </c>
      <c r="Y34" s="40" t="b">
        <f>(W34^2+X34^2)&gt;=1</f>
        <v>1</v>
      </c>
      <c r="Z34" s="40" t="b">
        <f>(W34^2+X34^2)&lt;=control!$B$2^2</f>
        <v>1</v>
      </c>
      <c r="AA34">
        <f>ROUND(ASIN(SQRT(W34^2+X34^2)/control!$B$2)/PI()*180,6)</f>
        <v>40.724381999999999</v>
      </c>
      <c r="AB34">
        <f>ROUND(ATAN2(W34,X34)/PI()*180,6)</f>
        <v>76.796452000000002</v>
      </c>
      <c r="AC34" s="2">
        <f>ASIN((W34*$X$58-$W$58*X34)/(SQRT(W34^2+X34^2)*SQRT($W$58^2+$X$58^2)))/PI()*180</f>
        <v>13.203548258024087</v>
      </c>
      <c r="AD34">
        <f>W34+$AD$4</f>
        <v>0.29804046508194976</v>
      </c>
      <c r="AE34">
        <f>X34+$AE$4</f>
        <v>0.13284813394504691</v>
      </c>
      <c r="AF34" s="40" t="b">
        <f>(AD34^2+AE34^2)&gt;=1</f>
        <v>0</v>
      </c>
      <c r="AG34" s="40" t="b">
        <f>(AD34^2+AE34^2)&lt;=control!$B$2^2</f>
        <v>1</v>
      </c>
      <c r="AH34">
        <f>ROUND(ASIN(SQRT(AD34^2+AE34^2)/control!$B$2)/PI()*180,6)</f>
        <v>9.3900059999999996</v>
      </c>
      <c r="AI34">
        <f t="shared" ref="AI34:AI43" si="12">ROUND(ATAN2(AD34,AE34)/PI()*180,6)</f>
        <v>24.024377000000001</v>
      </c>
      <c r="AJ34" s="2">
        <f t="shared" ref="AJ34:AJ43" si="13">ASIN((AD34*$AE$58-$AD$58*AE34)/(SQRT(AD34^2+AE34^2)*SQRT($AD$58^2+$AE$58^2)))/PI()*180</f>
        <v>88.924560189789958</v>
      </c>
    </row>
    <row r="35" spans="1:36" x14ac:dyDescent="0.3">
      <c r="A35">
        <v>320</v>
      </c>
      <c r="B35">
        <f>control!$B$3*COS('k1'!A35/180*PI())</f>
        <v>0.76604444311897779</v>
      </c>
      <c r="C35">
        <f>control!$B$3*SIN('k1'!A35/180*PI())</f>
        <v>-0.64278760968653958</v>
      </c>
      <c r="D35">
        <v>320</v>
      </c>
      <c r="E35">
        <f>control!$B$2*COS('k1'!D35/180*PI())</f>
        <v>1.5320888862379556</v>
      </c>
      <c r="F35">
        <f>control!$B$2*SIN('k1'!D35/180*PI())</f>
        <v>-1.2855752193730792</v>
      </c>
      <c r="G35" s="1">
        <v>0.6</v>
      </c>
      <c r="H35">
        <f>G35*control!$C$9/2+control!$C$8</f>
        <v>6</v>
      </c>
      <c r="I35" s="1">
        <f>control!$B$3*TAN('k1'!$H$32/180*PI())/SQRT(1+TAN('k1'!$H$32/180*PI())^2+TAN('k1'!H35/180*PI())^2)</f>
        <v>0.29920634470024859</v>
      </c>
      <c r="J35">
        <f>control!$B$3*TAN('k1'!H35/180*PI())/SQRT(1+TAN('k1'!$H$32/180*PI())^2+TAN('k1'!H35/180*PI())^2)</f>
        <v>9.9739850438906014E-2</v>
      </c>
      <c r="K35" s="40" t="b">
        <f t="shared" ref="K35:K43" si="14">(I35^2+J35^2)&gt;=1</f>
        <v>0</v>
      </c>
      <c r="L35" s="40" t="b">
        <f>(I35^2+J35^2)&lt;=control!$B$2^2</f>
        <v>1</v>
      </c>
      <c r="M35">
        <f>ROUND(ASIN(SQRT(I35^2+J35^2)/control!$B$3)/PI()*180,6)</f>
        <v>18.384515</v>
      </c>
      <c r="N35">
        <f>ROUND(ATAN2(I35,J35)/PI()*180,6)</f>
        <v>18.435708000000002</v>
      </c>
      <c r="O35" s="2">
        <f>ASIN((I35*$J$58-$I$58*J35)/(SQRT(I35^2+J35^2)*SQRT($I$58^2+$J$58^2)))/PI()*180</f>
        <v>-71.564292489912305</v>
      </c>
      <c r="P35">
        <f>I35+$P$4</f>
        <v>-0.83829365529975131</v>
      </c>
      <c r="Q35">
        <f>J35+$Q$4</f>
        <v>9.9739850438905875E-2</v>
      </c>
      <c r="R35" s="40" t="b">
        <f t="shared" ref="R35:R43" si="15">(P35^2+Q35^2)&gt;=1</f>
        <v>0</v>
      </c>
      <c r="S35" s="40" t="b">
        <f>(P35^2+Q35^2)&lt;=control!$B$2^2</f>
        <v>1</v>
      </c>
      <c r="T35">
        <f>ROUND(ASIN(SQRT(P35^2+Q35^2)/control!$B$2)/PI()*180,6)</f>
        <v>24.96744</v>
      </c>
      <c r="U35">
        <f>ROUND(ATAN2(P35,Q35)/PI()*180,6)</f>
        <v>173.214868</v>
      </c>
      <c r="V35" s="2">
        <f>ASIN((P35*$Q$58-$P$58*Q35)/(SQRT(P35^2+Q35^2)*SQRT($P$58^2+$Q$58^2)))/PI()*180</f>
        <v>6.7851322481506795</v>
      </c>
      <c r="W35">
        <f>P35+$W$4</f>
        <v>0.29920634470024843</v>
      </c>
      <c r="X35">
        <f>Q35+$X$4</f>
        <v>1.2372398504389062</v>
      </c>
      <c r="Y35" s="40" t="b">
        <f t="shared" ref="Y35:Y43" si="16">(W35^2+X35^2)&gt;=1</f>
        <v>1</v>
      </c>
      <c r="Z35" s="40" t="b">
        <f>(W35^2+X35^2)&lt;=control!$B$2^2</f>
        <v>1</v>
      </c>
      <c r="AA35">
        <f>ROUND(ASIN(SQRT(W35^2+X35^2)/control!$B$2)/PI()*180,6)</f>
        <v>39.527793000000003</v>
      </c>
      <c r="AB35">
        <f>ROUND(ATAN2(W35,X35)/PI()*180,6)</f>
        <v>76.404965000000004</v>
      </c>
      <c r="AC35" s="2">
        <f>ASIN((W35*$X$58-$W$58*X35)/(SQRT(W35^2+X35^2)*SQRT($W$58^2+$X$58^2)))/PI()*180</f>
        <v>13.595035434891461</v>
      </c>
      <c r="AD35">
        <f>W35+$AD$4</f>
        <v>0.29920634470024848</v>
      </c>
      <c r="AE35">
        <f>X35+$AE$4</f>
        <v>9.9739850438906208E-2</v>
      </c>
      <c r="AF35" s="40" t="b">
        <f t="shared" ref="AF35:AF43" si="17">(AD35^2+AE35^2)&gt;=1</f>
        <v>0</v>
      </c>
      <c r="AG35" s="40" t="b">
        <f>(AD35^2+AE35^2)&lt;=control!$B$2^2</f>
        <v>1</v>
      </c>
      <c r="AH35">
        <f>ROUND(ASIN(SQRT(AD35^2+AE35^2)/control!$B$2)/PI()*180,6)</f>
        <v>9.0732060000000008</v>
      </c>
      <c r="AI35">
        <f t="shared" si="12"/>
        <v>18.435708000000002</v>
      </c>
      <c r="AJ35" s="2">
        <f t="shared" si="13"/>
        <v>85.486770229164435</v>
      </c>
    </row>
    <row r="36" spans="1:36" x14ac:dyDescent="0.3">
      <c r="A36">
        <v>330</v>
      </c>
      <c r="B36">
        <f>control!$B$3*COS('k1'!A36/180*PI())</f>
        <v>0.86602540378443837</v>
      </c>
      <c r="C36">
        <f>control!$B$3*SIN('k1'!A36/180*PI())</f>
        <v>-0.50000000000000044</v>
      </c>
      <c r="D36">
        <v>330</v>
      </c>
      <c r="E36">
        <f>control!$B$2*COS('k1'!D36/180*PI())</f>
        <v>1.7320508075688767</v>
      </c>
      <c r="F36">
        <f>control!$B$2*SIN('k1'!D36/180*PI())</f>
        <v>-1.0000000000000009</v>
      </c>
      <c r="G36" s="1">
        <v>0.4</v>
      </c>
      <c r="H36">
        <f>G36*control!$C$9/2+control!$C$8</f>
        <v>4</v>
      </c>
      <c r="I36" s="1">
        <f>control!$B$3*TAN('k1'!$H$32/180*PI())/SQRT(1+TAN('k1'!$H$32/180*PI())^2+TAN('k1'!H36/180*PI())^2)</f>
        <v>0.30003931119635729</v>
      </c>
      <c r="J36">
        <f>control!$B$3*TAN('k1'!H36/180*PI())/SQRT(1+TAN('k1'!$H$32/180*PI())^2+TAN('k1'!H36/180*PI())^2)</f>
        <v>6.6542572409755835E-2</v>
      </c>
      <c r="K36" s="40" t="b">
        <f t="shared" si="14"/>
        <v>0</v>
      </c>
      <c r="L36" s="40" t="b">
        <f>(I36^2+J36^2)&lt;=control!$B$2^2</f>
        <v>1</v>
      </c>
      <c r="M36">
        <f>ROUND(ASIN(SQRT(I36^2+J36^2)/control!$B$3)/PI()*180,6)</f>
        <v>17.898375000000001</v>
      </c>
      <c r="N36">
        <f>ROUND(ATAN2(I36,J36)/PI()*180,6)</f>
        <v>12.504633999999999</v>
      </c>
      <c r="O36" s="2">
        <f>ASIN((I36*$J$58-$I$58*J36)/(SQRT(I36^2+J36^2)*SQRT($I$58^2+$J$58^2)))/PI()*180</f>
        <v>-77.495366244540094</v>
      </c>
      <c r="P36">
        <f>I36+$P$4</f>
        <v>-0.83746068880364266</v>
      </c>
      <c r="Q36">
        <f>J36+$Q$4</f>
        <v>6.6542572409755696E-2</v>
      </c>
      <c r="R36" s="40" t="b">
        <f t="shared" si="15"/>
        <v>0</v>
      </c>
      <c r="S36" s="40" t="b">
        <f>(P36^2+Q36^2)&lt;=control!$B$2^2</f>
        <v>1</v>
      </c>
      <c r="T36">
        <f>ROUND(ASIN(SQRT(P36^2+Q36^2)/control!$B$2)/PI()*180,6)</f>
        <v>24.83775</v>
      </c>
      <c r="U36">
        <f>ROUND(ATAN2(P36,Q36)/PI()*180,6)</f>
        <v>175.456963</v>
      </c>
      <c r="V36" s="2">
        <f>ASIN((P36*$Q$58-$P$58*Q36)/(SQRT(P36^2+Q36^2)*SQRT($P$58^2+$Q$58^2)))/PI()*180</f>
        <v>4.5430373374956412</v>
      </c>
      <c r="W36">
        <f>P36+$W$4</f>
        <v>0.30003931119635707</v>
      </c>
      <c r="X36">
        <f>Q36+$X$4</f>
        <v>1.2040425724097561</v>
      </c>
      <c r="Y36" s="40" t="b">
        <f t="shared" si="16"/>
        <v>1</v>
      </c>
      <c r="Z36" s="40" t="b">
        <f>(W36^2+X36^2)&lt;=control!$B$2^2</f>
        <v>1</v>
      </c>
      <c r="AA36">
        <f>ROUND(ASIN(SQRT(W36^2+X36^2)/control!$B$2)/PI()*180,6)</f>
        <v>38.347667999999999</v>
      </c>
      <c r="AB36">
        <f>ROUND(ATAN2(W36,X36)/PI()*180,6)</f>
        <v>76.007267999999996</v>
      </c>
      <c r="AC36" s="2">
        <f>ASIN((W36*$X$58-$W$58*X36)/(SQRT(W36^2+X36^2)*SQRT($W$58^2+$X$58^2)))/PI()*180</f>
        <v>13.99273218721806</v>
      </c>
      <c r="AD36">
        <f>W36+$AD$4</f>
        <v>0.30003931119635713</v>
      </c>
      <c r="AE36">
        <f>X36+$AE$4</f>
        <v>6.654257240975614E-2</v>
      </c>
      <c r="AF36" s="40" t="b">
        <f t="shared" si="17"/>
        <v>0</v>
      </c>
      <c r="AG36" s="40" t="b">
        <f>(AD36^2+AE36^2)&lt;=control!$B$2^2</f>
        <v>1</v>
      </c>
      <c r="AH36">
        <f>ROUND(ASIN(SQRT(AD36^2+AE36^2)/control!$B$2)/PI()*180,6)</f>
        <v>8.8393680000000003</v>
      </c>
      <c r="AI36">
        <f t="shared" si="12"/>
        <v>12.504633999999999</v>
      </c>
      <c r="AJ36" s="2">
        <f t="shared" si="13"/>
        <v>79.555696474536688</v>
      </c>
    </row>
    <row r="37" spans="1:36" x14ac:dyDescent="0.3">
      <c r="A37">
        <v>340</v>
      </c>
      <c r="B37">
        <f>control!$B$3*COS('k1'!A37/180*PI())</f>
        <v>0.93969262078590809</v>
      </c>
      <c r="C37">
        <f>control!$B$3*SIN('k1'!A37/180*PI())</f>
        <v>-0.34202014332566943</v>
      </c>
      <c r="D37">
        <v>340</v>
      </c>
      <c r="E37">
        <f>control!$B$2*COS('k1'!D37/180*PI())</f>
        <v>1.8793852415718162</v>
      </c>
      <c r="F37">
        <f>control!$B$2*SIN('k1'!D37/180*PI())</f>
        <v>-0.68404028665133887</v>
      </c>
      <c r="G37" s="1">
        <v>0.2</v>
      </c>
      <c r="H37">
        <f>G37*control!$C$9/2+control!$C$8</f>
        <v>2</v>
      </c>
      <c r="I37" s="1">
        <f>control!$B$3*TAN('k1'!$H$32/180*PI())/SQRT(1+TAN('k1'!$H$32/180*PI())^2+TAN('k1'!H37/180*PI())^2)</f>
        <v>0.30053916792201169</v>
      </c>
      <c r="J37">
        <f>control!$B$3*TAN('k1'!H37/180*PI())/SQRT(1+TAN('k1'!$H$32/180*PI())^2+TAN('k1'!H37/180*PI())^2)</f>
        <v>3.3286074594705777E-2</v>
      </c>
      <c r="K37" s="40" t="b">
        <f t="shared" si="14"/>
        <v>0</v>
      </c>
      <c r="L37" s="40" t="b">
        <f>(I37^2+J37^2)&lt;=control!$B$2^2</f>
        <v>1</v>
      </c>
      <c r="M37">
        <f>ROUND(ASIN(SQRT(I37^2+J37^2)/control!$B$3)/PI()*180,6)</f>
        <v>17.600418000000001</v>
      </c>
      <c r="N37">
        <f>ROUND(ATAN2(I37,J37)/PI()*180,6)</f>
        <v>6.3200099999999999</v>
      </c>
      <c r="O37" s="2">
        <f>ASIN((I37*$J$58-$I$58*J37)/(SQRT(I37^2+J37^2)*SQRT($I$58^2+$J$58^2)))/PI()*180</f>
        <v>-83.679990424852178</v>
      </c>
      <c r="P37">
        <f>I37+$P$4</f>
        <v>-0.83696083207798821</v>
      </c>
      <c r="Q37">
        <f>J37+$Q$4</f>
        <v>3.3286074594705638E-2</v>
      </c>
      <c r="R37" s="40" t="b">
        <f t="shared" si="15"/>
        <v>0</v>
      </c>
      <c r="S37" s="40" t="b">
        <f>(P37^2+Q37^2)&lt;=control!$B$2^2</f>
        <v>1</v>
      </c>
      <c r="T37">
        <f>ROUND(ASIN(SQRT(P37^2+Q37^2)/control!$B$2)/PI()*180,6)</f>
        <v>24.759557999999998</v>
      </c>
      <c r="U37">
        <f>ROUND(ATAN2(P37,Q37)/PI()*180,6)</f>
        <v>177.72253699999999</v>
      </c>
      <c r="V37" s="2">
        <f>ASIN((P37*$Q$58-$P$58*Q37)/(SQRT(P37^2+Q37^2)*SQRT($P$58^2+$Q$58^2)))/PI()*180</f>
        <v>2.2774626701370582</v>
      </c>
      <c r="W37">
        <f>P37+$W$4</f>
        <v>0.30053916792201152</v>
      </c>
      <c r="X37">
        <f>Q37+$X$4</f>
        <v>1.1707860745947061</v>
      </c>
      <c r="Y37" s="40" t="b">
        <f t="shared" si="16"/>
        <v>1</v>
      </c>
      <c r="Z37" s="40" t="b">
        <f>(W37^2+X37^2)&lt;=control!$B$2^2</f>
        <v>1</v>
      </c>
      <c r="AA37">
        <f>ROUND(ASIN(SQRT(W37^2+X37^2)/control!$B$2)/PI()*180,6)</f>
        <v>37.183691000000003</v>
      </c>
      <c r="AB37">
        <f>ROUND(ATAN2(W37,X37)/PI()*180,6)</f>
        <v>75.603104000000002</v>
      </c>
      <c r="AC37" s="2">
        <f>ASIN((W37*$X$58-$W$58*X37)/(SQRT(W37^2+X37^2)*SQRT($W$58^2+$X$58^2)))/PI()*180</f>
        <v>14.396896203522843</v>
      </c>
      <c r="AD37">
        <f>W37+$AD$4</f>
        <v>0.30053916792201157</v>
      </c>
      <c r="AE37">
        <f>X37+$AE$4</f>
        <v>3.3286074594706117E-2</v>
      </c>
      <c r="AF37" s="40" t="b">
        <f t="shared" si="17"/>
        <v>0</v>
      </c>
      <c r="AG37" s="40" t="b">
        <f>(AD37^2+AE37^2)&lt;=control!$B$2^2</f>
        <v>1</v>
      </c>
      <c r="AH37">
        <f>ROUND(ASIN(SQRT(AD37^2+AE37^2)/control!$B$2)/PI()*180,6)</f>
        <v>8.6958040000000008</v>
      </c>
      <c r="AI37">
        <f t="shared" si="12"/>
        <v>6.3200099999999999</v>
      </c>
      <c r="AJ37" s="2">
        <f t="shared" si="13"/>
        <v>73.371072294224618</v>
      </c>
    </row>
    <row r="38" spans="1:36" x14ac:dyDescent="0.3">
      <c r="A38">
        <v>350</v>
      </c>
      <c r="B38">
        <f>control!$B$3*COS('k1'!A38/180*PI())</f>
        <v>0.98480775301220802</v>
      </c>
      <c r="C38">
        <f>control!$B$3*SIN('k1'!A38/180*PI())</f>
        <v>-0.17364817766693039</v>
      </c>
      <c r="D38">
        <v>350</v>
      </c>
      <c r="E38">
        <f>control!$B$2*COS('k1'!D38/180*PI())</f>
        <v>1.969615506024416</v>
      </c>
      <c r="F38">
        <f>control!$B$2*SIN('k1'!D38/180*PI())</f>
        <v>-0.34729635533386077</v>
      </c>
      <c r="G38" s="1">
        <v>0</v>
      </c>
      <c r="H38">
        <f>G38*control!$C$9/2+control!$C$8</f>
        <v>0</v>
      </c>
      <c r="I38" s="1">
        <f>control!$B$3*TAN('k1'!$H$32/180*PI())/SQRT(1+TAN('k1'!$H$32/180*PI())^2+TAN('k1'!H38/180*PI())^2)</f>
        <v>0.30070579950427312</v>
      </c>
      <c r="J38">
        <f>control!$B$3*TAN('k1'!H38/180*PI())/SQRT(1+TAN('k1'!$H$32/180*PI())^2+TAN('k1'!H38/180*PI())^2)</f>
        <v>0</v>
      </c>
      <c r="K38" s="40" t="b">
        <f t="shared" si="14"/>
        <v>0</v>
      </c>
      <c r="L38" s="40" t="b">
        <f>(I38^2+J38^2)&lt;=control!$B$2^2</f>
        <v>1</v>
      </c>
      <c r="M38">
        <f>ROUND(ASIN(SQRT(I38^2+J38^2)/control!$B$3)/PI()*180,6)</f>
        <v>17.5</v>
      </c>
      <c r="N38">
        <f>ROUND(ATAN2(I38,J38)/PI()*180,6)</f>
        <v>0</v>
      </c>
      <c r="O38" s="2">
        <f>ASIN((I38*$J$58-$I$58*J38)/(SQRT(I38^2+J38^2)*SQRT($I$58^2+$J$58^2)))/PI()*180</f>
        <v>-90</v>
      </c>
      <c r="P38">
        <f>I38+$P$4</f>
        <v>-0.83679420049572684</v>
      </c>
      <c r="Q38">
        <f>J38+$Q$4</f>
        <v>-1.3936063674585553E-16</v>
      </c>
      <c r="R38" s="40" t="b">
        <f t="shared" si="15"/>
        <v>0</v>
      </c>
      <c r="S38" s="40" t="b">
        <f>(P38^2+Q38^2)&lt;=control!$B$2^2</f>
        <v>1</v>
      </c>
      <c r="T38">
        <f>ROUND(ASIN(SQRT(P38^2+Q38^2)/control!$B$2)/PI()*180,6)</f>
        <v>24.733431</v>
      </c>
      <c r="U38">
        <f>ROUND(ATAN2(P38,Q38)/PI()*180,6)</f>
        <v>-180</v>
      </c>
      <c r="V38" s="2">
        <f>ASIN((P38*$Q$58-$P$58*Q38)/(SQRT(P38^2+Q38^2)*SQRT($P$58^2+$Q$58^2)))/PI()*180</f>
        <v>-2.8696104997685573E-15</v>
      </c>
      <c r="W38">
        <f>P38+$W$4</f>
        <v>0.3007057995042729</v>
      </c>
      <c r="X38">
        <f>Q38+$X$4</f>
        <v>1.1375000000000002</v>
      </c>
      <c r="Y38" s="40" t="b">
        <f t="shared" si="16"/>
        <v>1</v>
      </c>
      <c r="Z38" s="40" t="b">
        <f>(W38^2+X38^2)&lt;=control!$B$2^2</f>
        <v>1</v>
      </c>
      <c r="AA38">
        <f>ROUND(ASIN(SQRT(W38^2+X38^2)/control!$B$2)/PI()*180,6)</f>
        <v>36.035600000000002</v>
      </c>
      <c r="AB38">
        <f>ROUND(ATAN2(W38,X38)/PI()*180,6)</f>
        <v>75.192216000000002</v>
      </c>
      <c r="AC38" s="2">
        <f>ASIN((W38*$X$58-$W$58*X38)/(SQRT(W38^2+X38^2)*SQRT($W$58^2+$X$58^2)))/PI()*180</f>
        <v>14.807784245136252</v>
      </c>
      <c r="AD38">
        <f>W38+$AD$4</f>
        <v>0.30070579950427295</v>
      </c>
      <c r="AE38">
        <f>X38+$AE$4</f>
        <v>0</v>
      </c>
      <c r="AF38" s="40" t="b">
        <f t="shared" si="17"/>
        <v>0</v>
      </c>
      <c r="AG38" s="40" t="b">
        <f>(AD38^2+AE38^2)&lt;=control!$B$2^2</f>
        <v>1</v>
      </c>
      <c r="AH38">
        <f>ROUND(ASIN(SQRT(AD38^2+AE38^2)/control!$B$2)/PI()*180,6)</f>
        <v>8.6473779999999998</v>
      </c>
      <c r="AI38">
        <f t="shared" si="12"/>
        <v>0</v>
      </c>
      <c r="AJ38" s="2">
        <f t="shared" si="13"/>
        <v>67.051062719076725</v>
      </c>
    </row>
    <row r="39" spans="1:36" x14ac:dyDescent="0.3">
      <c r="A39">
        <v>360</v>
      </c>
      <c r="B39">
        <f>control!$B$3*COS('k1'!A39/180*PI())</f>
        <v>1</v>
      </c>
      <c r="C39">
        <f>control!$B$3*SIN('k1'!A39/180*PI())</f>
        <v>-2.45029690981724E-16</v>
      </c>
      <c r="D39">
        <v>360</v>
      </c>
      <c r="E39">
        <f>control!$B$2*COS('k1'!D39/180*PI())</f>
        <v>2</v>
      </c>
      <c r="F39">
        <f>control!$B$2*SIN('k1'!D39/180*PI())</f>
        <v>-4.90059381963448E-16</v>
      </c>
      <c r="G39" s="1">
        <v>-0.2</v>
      </c>
      <c r="H39">
        <f>G39*control!$C$9/2+control!$C$8</f>
        <v>-2</v>
      </c>
      <c r="I39" s="1">
        <f>control!$B$3*TAN('k1'!$H$32/180*PI())/SQRT(1+TAN('k1'!$H$32/180*PI())^2+TAN('k1'!H39/180*PI())^2)</f>
        <v>0.30053916792201169</v>
      </c>
      <c r="J39">
        <f>control!$B$3*TAN('k1'!H39/180*PI())/SQRT(1+TAN('k1'!$H$32/180*PI())^2+TAN('k1'!H39/180*PI())^2)</f>
        <v>-3.3286074594705777E-2</v>
      </c>
      <c r="K39" s="40" t="b">
        <f t="shared" si="14"/>
        <v>0</v>
      </c>
      <c r="L39" s="40" t="b">
        <f>(I39^2+J39^2)&lt;=control!$B$2^2</f>
        <v>1</v>
      </c>
      <c r="M39">
        <f>ROUND(ASIN(SQRT(I39^2+J39^2)/control!$B$3)/PI()*180,6)</f>
        <v>17.600418000000001</v>
      </c>
      <c r="N39">
        <f>ROUND(ATAN2(I39,J39)/PI()*180,6)</f>
        <v>-6.3200099999999999</v>
      </c>
      <c r="O39" s="2">
        <f>ASIN((I39*$J$58-$I$58*J39)/(SQRT(I39^2+J39^2)*SQRT($I$58^2+$J$58^2)))/PI()*180</f>
        <v>-83.679990424852178</v>
      </c>
      <c r="P39">
        <f>I39+$P$4</f>
        <v>-0.83696083207798821</v>
      </c>
      <c r="Q39">
        <f>J39+$Q$4</f>
        <v>-3.3286074594705915E-2</v>
      </c>
      <c r="R39" s="40" t="b">
        <f t="shared" si="15"/>
        <v>0</v>
      </c>
      <c r="S39" s="40" t="b">
        <f>(P39^2+Q39^2)&lt;=control!$B$2^2</f>
        <v>1</v>
      </c>
      <c r="T39">
        <f>ROUND(ASIN(SQRT(P39^2+Q39^2)/control!$B$2)/PI()*180,6)</f>
        <v>24.759557999999998</v>
      </c>
      <c r="U39">
        <f>ROUND(ATAN2(P39,Q39)/PI()*180,6)</f>
        <v>-177.72253699999999</v>
      </c>
      <c r="V39" s="2">
        <f>ASIN((P39*$Q$58-$P$58*Q39)/(SQRT(P39^2+Q39^2)*SQRT($P$58^2+$Q$58^2)))/PI()*180</f>
        <v>-2.2774626701370644</v>
      </c>
      <c r="W39">
        <f>P39+$W$4</f>
        <v>0.30053916792201152</v>
      </c>
      <c r="X39">
        <f>Q39+$X$4</f>
        <v>1.1042139254052945</v>
      </c>
      <c r="Y39" s="40" t="b">
        <f t="shared" si="16"/>
        <v>1</v>
      </c>
      <c r="Z39" s="40" t="b">
        <f>(W39^2+X39^2)&lt;=control!$B$2^2</f>
        <v>1</v>
      </c>
      <c r="AA39">
        <f>ROUND(ASIN(SQRT(W39^2+X39^2)/control!$B$2)/PI()*180,6)</f>
        <v>34.903182999999999</v>
      </c>
      <c r="AB39">
        <f>ROUND(ATAN2(W39,X39)/PI()*180,6)</f>
        <v>74.774349999999998</v>
      </c>
      <c r="AC39" s="2">
        <f>ASIN((W39*$X$58-$W$58*X39)/(SQRT(W39^2+X39^2)*SQRT($W$58^2+$X$58^2)))/PI()*180</f>
        <v>15.225649915307725</v>
      </c>
      <c r="AD39">
        <f>W39+$AD$4</f>
        <v>0.30053916792201157</v>
      </c>
      <c r="AE39">
        <f>X39+$AE$4</f>
        <v>-3.328607459470545E-2</v>
      </c>
      <c r="AF39" s="40" t="b">
        <f t="shared" si="17"/>
        <v>0</v>
      </c>
      <c r="AG39" s="40" t="b">
        <f>(AD39^2+AE39^2)&lt;=control!$B$2^2</f>
        <v>1</v>
      </c>
      <c r="AH39">
        <f>ROUND(ASIN(SQRT(AD39^2+AE39^2)/control!$B$2)/PI()*180,6)</f>
        <v>8.6958040000000008</v>
      </c>
      <c r="AI39">
        <f t="shared" si="12"/>
        <v>-6.3200099999999999</v>
      </c>
      <c r="AJ39" s="2">
        <f t="shared" si="13"/>
        <v>60.731053143928996</v>
      </c>
    </row>
    <row r="40" spans="1:36" x14ac:dyDescent="0.3">
      <c r="G40" s="1">
        <v>-0.4</v>
      </c>
      <c r="H40">
        <f>G40*control!$C$9/2+control!$C$8</f>
        <v>-4</v>
      </c>
      <c r="I40" s="1">
        <f>control!$B$3*TAN('k1'!$H$32/180*PI())/SQRT(1+TAN('k1'!$H$32/180*PI())^2+TAN('k1'!H40/180*PI())^2)</f>
        <v>0.30003931119635729</v>
      </c>
      <c r="J40">
        <f>control!$B$3*TAN('k1'!H40/180*PI())/SQRT(1+TAN('k1'!$H$32/180*PI())^2+TAN('k1'!H40/180*PI())^2)</f>
        <v>-6.6542572409755835E-2</v>
      </c>
      <c r="K40" s="40" t="b">
        <f t="shared" si="14"/>
        <v>0</v>
      </c>
      <c r="L40" s="40" t="b">
        <f>(I40^2+J40^2)&lt;=control!$B$2^2</f>
        <v>1</v>
      </c>
      <c r="M40">
        <f>ROUND(ASIN(SQRT(I40^2+J40^2)/control!$B$3)/PI()*180,6)</f>
        <v>17.898375000000001</v>
      </c>
      <c r="N40">
        <f>ROUND(ATAN2(I40,J40)/PI()*180,6)</f>
        <v>-12.504633999999999</v>
      </c>
      <c r="O40" s="2">
        <f>ASIN((I40*$J$58-$I$58*J40)/(SQRT(I40^2+J40^2)*SQRT($I$58^2+$J$58^2)))/PI()*180</f>
        <v>-77.495366244540094</v>
      </c>
      <c r="P40">
        <f>I40+$P$4</f>
        <v>-0.83746068880364266</v>
      </c>
      <c r="Q40">
        <f>J40+$Q$4</f>
        <v>-6.6542572409755973E-2</v>
      </c>
      <c r="R40" s="40" t="b">
        <f t="shared" si="15"/>
        <v>0</v>
      </c>
      <c r="S40" s="40" t="b">
        <f>(P40^2+Q40^2)&lt;=control!$B$2^2</f>
        <v>1</v>
      </c>
      <c r="T40">
        <f>ROUND(ASIN(SQRT(P40^2+Q40^2)/control!$B$2)/PI()*180,6)</f>
        <v>24.83775</v>
      </c>
      <c r="U40">
        <f>ROUND(ATAN2(P40,Q40)/PI()*180,6)</f>
        <v>-175.456963</v>
      </c>
      <c r="V40" s="2">
        <f>ASIN((P40*$Q$58-$P$58*Q40)/(SQRT(P40^2+Q40^2)*SQRT($P$58^2+$Q$58^2)))/PI()*180</f>
        <v>-4.5430373374956456</v>
      </c>
      <c r="W40">
        <f>P40+$W$4</f>
        <v>0.30003931119635707</v>
      </c>
      <c r="X40">
        <f>Q40+$X$4</f>
        <v>1.0709574275902445</v>
      </c>
      <c r="Y40" s="40" t="b">
        <f t="shared" si="16"/>
        <v>1</v>
      </c>
      <c r="Z40" s="40" t="b">
        <f>(W40^2+X40^2)&lt;=control!$B$2^2</f>
        <v>1</v>
      </c>
      <c r="AA40">
        <f>ROUND(ASIN(SQRT(W40^2+X40^2)/control!$B$2)/PI()*180,6)</f>
        <v>33.786273999999999</v>
      </c>
      <c r="AB40">
        <f>ROUND(ATAN2(W40,X40)/PI()*180,6)</f>
        <v>74.349259000000004</v>
      </c>
      <c r="AC40" s="2">
        <f>ASIN((W40*$X$58-$W$58*X40)/(SQRT(W40^2+X40^2)*SQRT($W$58^2+$X$58^2)))/PI()*180</f>
        <v>15.65074092359097</v>
      </c>
      <c r="AD40">
        <f>W40+$AD$4</f>
        <v>0.30003931119635713</v>
      </c>
      <c r="AE40">
        <f>X40+$AE$4</f>
        <v>-6.6542572409755474E-2</v>
      </c>
      <c r="AF40" s="40" t="b">
        <f t="shared" si="17"/>
        <v>0</v>
      </c>
      <c r="AG40" s="40" t="b">
        <f>(AD40^2+AE40^2)&lt;=control!$B$2^2</f>
        <v>1</v>
      </c>
      <c r="AH40">
        <f>ROUND(ASIN(SQRT(AD40^2+AE40^2)/control!$B$2)/PI()*180,6)</f>
        <v>8.8393680000000003</v>
      </c>
      <c r="AI40">
        <f t="shared" si="12"/>
        <v>-12.504633999999999</v>
      </c>
      <c r="AJ40" s="2">
        <f t="shared" si="13"/>
        <v>54.546428963616918</v>
      </c>
    </row>
    <row r="41" spans="1:36" x14ac:dyDescent="0.3">
      <c r="G41" s="1">
        <v>-0.6</v>
      </c>
      <c r="H41">
        <f>G41*control!$C$9/2+control!$C$8</f>
        <v>-6</v>
      </c>
      <c r="I41" s="1">
        <f>control!$B$3*TAN('k1'!$H$32/180*PI())/SQRT(1+TAN('k1'!$H$32/180*PI())^2+TAN('k1'!H41/180*PI())^2)</f>
        <v>0.29920634470024859</v>
      </c>
      <c r="J41">
        <f>control!$B$3*TAN('k1'!H41/180*PI())/SQRT(1+TAN('k1'!$H$32/180*PI())^2+TAN('k1'!H41/180*PI())^2)</f>
        <v>-9.9739850438906014E-2</v>
      </c>
      <c r="K41" s="40" t="b">
        <f t="shared" si="14"/>
        <v>0</v>
      </c>
      <c r="L41" s="40" t="b">
        <f>(I41^2+J41^2)&lt;=control!$B$2^2</f>
        <v>1</v>
      </c>
      <c r="M41">
        <f>ROUND(ASIN(SQRT(I41^2+J41^2)/control!$B$3)/PI()*180,6)</f>
        <v>18.384515</v>
      </c>
      <c r="N41">
        <f>ROUND(ATAN2(I41,J41)/PI()*180,6)</f>
        <v>-18.435708000000002</v>
      </c>
      <c r="O41" s="2">
        <f>ASIN((I41*$J$58-$I$58*J41)/(SQRT(I41^2+J41^2)*SQRT($I$58^2+$J$58^2)))/PI()*180</f>
        <v>-71.564292489912305</v>
      </c>
      <c r="P41">
        <f>I41+$P$4</f>
        <v>-0.83829365529975131</v>
      </c>
      <c r="Q41">
        <f>J41+$Q$4</f>
        <v>-9.9739850438906152E-2</v>
      </c>
      <c r="R41" s="40" t="b">
        <f t="shared" si="15"/>
        <v>0</v>
      </c>
      <c r="S41" s="40" t="b">
        <f>(P41^2+Q41^2)&lt;=control!$B$2^2</f>
        <v>1</v>
      </c>
      <c r="T41">
        <f>ROUND(ASIN(SQRT(P41^2+Q41^2)/control!$B$2)/PI()*180,6)</f>
        <v>24.96744</v>
      </c>
      <c r="U41">
        <f>ROUND(ATAN2(P41,Q41)/PI()*180,6)</f>
        <v>-173.214868</v>
      </c>
      <c r="V41" s="2">
        <f>ASIN((P41*$Q$58-$P$58*Q41)/(SQRT(P41^2+Q41^2)*SQRT($P$58^2+$Q$58^2)))/PI()*180</f>
        <v>-6.7851322481506857</v>
      </c>
      <c r="W41">
        <f>P41+$W$4</f>
        <v>0.29920634470024843</v>
      </c>
      <c r="X41">
        <f>Q41+$X$4</f>
        <v>1.0377601495610942</v>
      </c>
      <c r="Y41" s="40" t="b">
        <f t="shared" si="16"/>
        <v>1</v>
      </c>
      <c r="Z41" s="40" t="b">
        <f>(W41^2+X41^2)&lt;=control!$B$2^2</f>
        <v>1</v>
      </c>
      <c r="AA41">
        <f>ROUND(ASIN(SQRT(W41^2+X41^2)/control!$B$2)/PI()*180,6)</f>
        <v>32.684750999999999</v>
      </c>
      <c r="AB41">
        <f>ROUND(ATAN2(W41,X41)/PI()*180,6)</f>
        <v>73.916703999999996</v>
      </c>
      <c r="AC41" s="2">
        <f>ASIN((W41*$X$58-$W$58*X41)/(SQRT(W41^2+X41^2)*SQRT($W$58^2+$X$58^2)))/PI()*180</f>
        <v>16.083295745089863</v>
      </c>
      <c r="AD41">
        <f>W41+$AD$4</f>
        <v>0.29920634470024848</v>
      </c>
      <c r="AE41">
        <f>X41+$AE$4</f>
        <v>-9.9739850438905764E-2</v>
      </c>
      <c r="AF41" s="40" t="b">
        <f t="shared" si="17"/>
        <v>0</v>
      </c>
      <c r="AG41" s="40" t="b">
        <f>(AD41^2+AE41^2)&lt;=control!$B$2^2</f>
        <v>1</v>
      </c>
      <c r="AH41">
        <f>ROUND(ASIN(SQRT(AD41^2+AE41^2)/control!$B$2)/PI()*180,6)</f>
        <v>9.0732060000000008</v>
      </c>
      <c r="AI41">
        <f t="shared" si="12"/>
        <v>-18.435708000000002</v>
      </c>
      <c r="AJ41" s="2">
        <f t="shared" si="13"/>
        <v>48.615355208989051</v>
      </c>
    </row>
    <row r="42" spans="1:36" x14ac:dyDescent="0.3">
      <c r="G42" s="1">
        <v>-0.8</v>
      </c>
      <c r="H42">
        <f>G42*control!$C$9/2+control!$C$8</f>
        <v>-8</v>
      </c>
      <c r="I42" s="1">
        <f>control!$B$3*TAN('k1'!$H$32/180*PI())/SQRT(1+TAN('k1'!$H$32/180*PI())^2+TAN('k1'!H42/180*PI())^2)</f>
        <v>0.29804046508194998</v>
      </c>
      <c r="J42">
        <f>control!$B$3*TAN('k1'!H42/180*PI())/SQRT(1+TAN('k1'!$H$32/180*PI())^2+TAN('k1'!H42/180*PI())^2)</f>
        <v>-0.13284813394504671</v>
      </c>
      <c r="K42" s="40" t="b">
        <f t="shared" si="14"/>
        <v>0</v>
      </c>
      <c r="L42" s="40" t="b">
        <f>(I42^2+J42^2)&lt;=control!$B$2^2</f>
        <v>1</v>
      </c>
      <c r="M42">
        <f>ROUND(ASIN(SQRT(I42^2+J42^2)/control!$B$3)/PI()*180,6)</f>
        <v>19.044823000000001</v>
      </c>
      <c r="N42">
        <f>ROUND(ATAN2(I42,J42)/PI()*180,6)</f>
        <v>-24.024377000000001</v>
      </c>
      <c r="O42" s="2">
        <f>ASIN((I42*$J$58-$I$58*J42)/(SQRT(I42^2+J42^2)*SQRT($I$58^2+$J$58^2)))/PI()*180</f>
        <v>-65.975622908867265</v>
      </c>
      <c r="P42">
        <f>I42+$P$4</f>
        <v>-0.83945953491805003</v>
      </c>
      <c r="Q42">
        <f>J42+$Q$4</f>
        <v>-0.13284813394504685</v>
      </c>
      <c r="R42" s="40" t="b">
        <f t="shared" si="15"/>
        <v>0</v>
      </c>
      <c r="S42" s="40" t="b">
        <f>(P42^2+Q42^2)&lt;=control!$B$2^2</f>
        <v>1</v>
      </c>
      <c r="T42">
        <f>ROUND(ASIN(SQRT(P42^2+Q42^2)/control!$B$2)/PI()*180,6)</f>
        <v>25.147701999999999</v>
      </c>
      <c r="U42">
        <f>ROUND(ATAN2(P42,Q42)/PI()*180,6)</f>
        <v>-171.007271</v>
      </c>
      <c r="V42" s="2">
        <f>ASIN((P42*$Q$58-$P$58*Q42)/(SQRT(P42^2+Q42^2)*SQRT($P$58^2+$Q$58^2)))/PI()*180</f>
        <v>-8.9927293560265564</v>
      </c>
      <c r="W42">
        <f>P42+$W$4</f>
        <v>0.2980404650819497</v>
      </c>
      <c r="X42">
        <f>Q42+$X$4</f>
        <v>1.0046518660549535</v>
      </c>
      <c r="Y42" s="40" t="b">
        <f t="shared" si="16"/>
        <v>1</v>
      </c>
      <c r="Z42" s="40" t="b">
        <f>(W42^2+X42^2)&lt;=control!$B$2^2</f>
        <v>1</v>
      </c>
      <c r="AA42">
        <f>ROUND(ASIN(SQRT(W42^2+X42^2)/control!$B$2)/PI()*180,6)</f>
        <v>31.598533</v>
      </c>
      <c r="AB42">
        <f>ROUND(ATAN2(W42,X42)/PI()*180,6)</f>
        <v>73.476460000000003</v>
      </c>
      <c r="AC42" s="2">
        <f>ASIN((W42*$X$58-$W$58*X42)/(SQRT(W42^2+X42^2)*SQRT($W$58^2+$X$58^2)))/PI()*180</f>
        <v>16.523539554398148</v>
      </c>
      <c r="AD42">
        <f>W42+$AD$4</f>
        <v>0.29804046508194976</v>
      </c>
      <c r="AE42">
        <f>X42+$AE$4</f>
        <v>-0.13284813394504646</v>
      </c>
      <c r="AF42" s="40" t="b">
        <f t="shared" si="17"/>
        <v>0</v>
      </c>
      <c r="AG42" s="40" t="b">
        <f>(AD42^2+AE42^2)&lt;=control!$B$2^2</f>
        <v>1</v>
      </c>
      <c r="AH42">
        <f>ROUND(ASIN(SQRT(AD42^2+AE42^2)/control!$B$2)/PI()*180,6)</f>
        <v>9.3900059999999996</v>
      </c>
      <c r="AI42">
        <f t="shared" si="12"/>
        <v>-24.024377000000001</v>
      </c>
      <c r="AJ42" s="2">
        <f t="shared" si="13"/>
        <v>43.026685627944019</v>
      </c>
    </row>
    <row r="43" spans="1:36" x14ac:dyDescent="0.3">
      <c r="G43" s="1">
        <v>-1</v>
      </c>
      <c r="H43">
        <f>G43*control!$C$9/2+control!$C$8</f>
        <v>-10</v>
      </c>
      <c r="I43" s="7">
        <f>control!$B$3*TAN('k1'!$H$32/180*PI())/SQRT(1+TAN('k1'!$H$32/180*PI())^2+TAN('k1'!H43/180*PI())^2)</f>
        <v>0.29654195678697232</v>
      </c>
      <c r="J43" s="6">
        <f>control!$B$3*TAN('k1'!H43/180*PI())/SQRT(1+TAN('k1'!$H$32/180*PI())^2+TAN('k1'!H43/180*PI())^2)</f>
        <v>-0.16583745240358658</v>
      </c>
      <c r="K43" s="6" t="b">
        <f t="shared" si="14"/>
        <v>0</v>
      </c>
      <c r="L43" s="6" t="b">
        <f>(I43^2+J43^2)&lt;=control!$B$2^2</f>
        <v>1</v>
      </c>
      <c r="M43" s="6">
        <f>ROUND(ASIN(SQRT(I43^2+J43^2)/control!$B$3)/PI()*180,6)</f>
        <v>19.862462000000001</v>
      </c>
      <c r="N43" s="6">
        <f>ROUND(ATAN2(I43,J43)/PI()*180,6)</f>
        <v>-29.215568000000001</v>
      </c>
      <c r="O43" s="8">
        <f>ASIN((I43*$J$58-$I$58*J43)/(SQRT(I43^2+J43^2)*SQRT($I$58^2+$J$58^2)))/PI()*180</f>
        <v>-60.784432440197115</v>
      </c>
      <c r="P43" s="6">
        <f>I43+$P$4</f>
        <v>-0.8409580432130277</v>
      </c>
      <c r="Q43" s="6">
        <f>J43+$Q$4</f>
        <v>-0.16583745240358672</v>
      </c>
      <c r="R43" s="6" t="b">
        <f t="shared" si="15"/>
        <v>0</v>
      </c>
      <c r="S43" s="6" t="b">
        <f>(P43^2+Q43^2)&lt;=control!$B$2^2</f>
        <v>1</v>
      </c>
      <c r="T43" s="6">
        <f>ROUND(ASIN(SQRT(P43^2+Q43^2)/control!$B$2)/PI()*180,6)</f>
        <v>25.377278</v>
      </c>
      <c r="U43" s="6">
        <f>ROUND(ATAN2(P43,Q43)/PI()*180,6)</f>
        <v>-168.84437399999999</v>
      </c>
      <c r="V43" s="8">
        <f>ASIN((P43*$Q$58-$P$58*Q43)/(SQRT(P43^2+Q43^2)*SQRT($P$58^2+$Q$58^2)))/PI()*180</f>
        <v>-11.155626386958545</v>
      </c>
      <c r="W43" s="6">
        <f>P43+$W$4</f>
        <v>0.29654195678697204</v>
      </c>
      <c r="X43" s="6">
        <f>Q43+$X$4</f>
        <v>0.97166254759641368</v>
      </c>
      <c r="Y43" s="6" t="b">
        <f t="shared" si="16"/>
        <v>1</v>
      </c>
      <c r="Z43" s="6" t="b">
        <f>(W43^2+X43^2)&lt;=control!$B$2^2</f>
        <v>1</v>
      </c>
      <c r="AA43" s="6">
        <f>ROUND(ASIN(SQRT(W43^2+X43^2)/control!$B$2)/PI()*180,6)</f>
        <v>30.52758</v>
      </c>
      <c r="AB43" s="6">
        <f>ROUND(ATAN2(W43,X43)/PI()*180,6)</f>
        <v>73.028321000000005</v>
      </c>
      <c r="AC43" s="8">
        <f>ASIN((W43*$X$58-$W$58*X43)/(SQRT(W43^2+X43^2)*SQRT($W$58^2+$X$58^2)))/PI()*180</f>
        <v>16.971679290355169</v>
      </c>
      <c r="AD43" s="6">
        <f>W43+$AD$4</f>
        <v>0.29654195678697209</v>
      </c>
      <c r="AE43" s="6">
        <f>X43+$AE$4</f>
        <v>-0.16583745240358627</v>
      </c>
      <c r="AF43" s="6" t="b">
        <f t="shared" si="17"/>
        <v>0</v>
      </c>
      <c r="AG43" s="6" t="b">
        <f>(AD43^2+AE43^2)&lt;=control!$B$2^2</f>
        <v>1</v>
      </c>
      <c r="AH43" s="6">
        <f>ROUND(ASIN(SQRT(AD43^2+AE43^2)/control!$B$2)/PI()*180,6)</f>
        <v>9.7809419999999996</v>
      </c>
      <c r="AI43" s="6">
        <f t="shared" si="12"/>
        <v>-29.215568000000001</v>
      </c>
      <c r="AJ43" s="8">
        <f t="shared" si="13"/>
        <v>37.835495159273862</v>
      </c>
    </row>
    <row r="44" spans="1:36" x14ac:dyDescent="0.3">
      <c r="L44" s="40"/>
      <c r="S44" s="40"/>
    </row>
    <row r="45" spans="1:36" x14ac:dyDescent="0.3">
      <c r="G45" s="1" t="s">
        <v>15</v>
      </c>
      <c r="H45">
        <v>-1</v>
      </c>
      <c r="L45" s="40"/>
      <c r="S45" s="40"/>
    </row>
    <row r="46" spans="1:36" x14ac:dyDescent="0.3">
      <c r="H46">
        <f>H45*control!$C$9/2+control!$C$8</f>
        <v>-10</v>
      </c>
      <c r="L46" s="40"/>
      <c r="N46" s="6"/>
      <c r="O46" s="8"/>
      <c r="S46" s="40"/>
      <c r="V46" s="8"/>
      <c r="AC46" s="8"/>
      <c r="AJ46" s="8"/>
    </row>
    <row r="47" spans="1:36" x14ac:dyDescent="0.3">
      <c r="G47" s="1">
        <v>1</v>
      </c>
      <c r="H47">
        <f>G47*control!$B$9/2+control!$B$8</f>
        <v>17.5</v>
      </c>
      <c r="I47" s="4">
        <f>control!$B$3*TAN('k1'!H47/180*PI())/SQRT(1+TAN('k1'!H47/180*PI())^2+TAN('k1'!$H$46/180*PI())^2)</f>
        <v>0.29654195678697232</v>
      </c>
      <c r="J47" s="3">
        <f>control!$B$3*TAN('k1'!$H$46/180*PI())/SQRT(1+TAN('k1'!H47/180*PI())^2+TAN('k1'!$H$46/180*PI())^2)</f>
        <v>-0.16583745240358658</v>
      </c>
      <c r="K47" s="3" t="b">
        <f>(I47^2+J47^2)&gt;=1</f>
        <v>0</v>
      </c>
      <c r="L47" s="3" t="b">
        <f>(I47^2+J47^2)&lt;=control!$B$2^2</f>
        <v>1</v>
      </c>
      <c r="M47" s="3">
        <f>ROUND(ASIN(SQRT(I47^2+J47^2)/control!$B$3)/PI()*180,6)</f>
        <v>19.862462000000001</v>
      </c>
      <c r="N47">
        <f>ROUND(ATAN2(I47,J47)/PI()*180,6)</f>
        <v>-29.215568000000001</v>
      </c>
      <c r="O47" s="5">
        <f>ASIN((I47*$J$58-$I$58*J47)/(SQRT(I47^2+J47^2)*SQRT($I$58^2+$J$58^2)))/PI()*180</f>
        <v>-60.784432440197115</v>
      </c>
      <c r="P47" s="3">
        <f>I47+$P$4</f>
        <v>-0.8409580432130277</v>
      </c>
      <c r="Q47" s="3">
        <f>J47+$Q$4</f>
        <v>-0.16583745240358672</v>
      </c>
      <c r="R47" s="3" t="b">
        <f>(P47^2+Q47^2)&gt;=1</f>
        <v>0</v>
      </c>
      <c r="S47" s="3" t="b">
        <f>(P47^2+Q47^2)&lt;=control!$B$2^2</f>
        <v>1</v>
      </c>
      <c r="T47" s="3">
        <f>ROUND(ASIN(SQRT(P47^2+Q47^2)/control!$B$2)/PI()*180,6)</f>
        <v>25.377278</v>
      </c>
      <c r="U47" s="3">
        <f>ROUND(ATAN2(P47,Q47)/PI()*180,6)</f>
        <v>-168.84437399999999</v>
      </c>
      <c r="V47" s="5">
        <f>ASIN((P47*$Q$58-$P$58*Q47)/(SQRT(P47^2+Q47^2)*SQRT($P$58^2+$Q$58^2)))/PI()*180</f>
        <v>-11.155626386958545</v>
      </c>
      <c r="W47" s="3">
        <f>P47+$W$4</f>
        <v>0.29654195678697204</v>
      </c>
      <c r="X47" s="3">
        <f>Q47+$X$4</f>
        <v>0.97166254759641368</v>
      </c>
      <c r="Y47" s="3" t="b">
        <f>(W47^2+X47^2)&gt;=1</f>
        <v>1</v>
      </c>
      <c r="Z47" s="3" t="b">
        <f>(W47^2+X47^2)&lt;=control!$B$2^2</f>
        <v>1</v>
      </c>
      <c r="AA47" s="3">
        <f>ROUND(ASIN(SQRT(W47^2+X47^2)/control!$B$2)/PI()*180,6)</f>
        <v>30.52758</v>
      </c>
      <c r="AB47" s="3">
        <f>ROUND(ATAN2(W47,X47)/PI()*180,6)</f>
        <v>73.028321000000005</v>
      </c>
      <c r="AC47" s="5">
        <f>ASIN((W47*$X$58-$W$58*X47)/(SQRT(W47^2+X47^2)*SQRT($W$58^2+$X$58^2)))/PI()*180</f>
        <v>16.971679290355169</v>
      </c>
      <c r="AD47" s="3">
        <f>W47+$AD$4</f>
        <v>0.29654195678697209</v>
      </c>
      <c r="AE47" s="3">
        <f>X47+$AE$4</f>
        <v>-0.16583745240358627</v>
      </c>
      <c r="AF47" s="3" t="b">
        <f>(AD47^2+AE47^2)&gt;=1</f>
        <v>0</v>
      </c>
      <c r="AG47" s="3" t="b">
        <f>(AD47^2+AE47^2)&lt;=control!$B$2^2</f>
        <v>1</v>
      </c>
      <c r="AH47" s="3">
        <f>ROUND(ASIN(SQRT(AD47^2+AE47^2)/control!$B$2)/PI()*180,6)</f>
        <v>9.7809419999999996</v>
      </c>
      <c r="AI47" s="3">
        <f>ROUND(ATAN2(AD47,AE47)/PI()*180,6)</f>
        <v>-29.215568000000001</v>
      </c>
      <c r="AJ47" s="5">
        <f>ASIN((AD47*$AE$58-$AD$58*AE47)/(SQRT(AD47^2+AE47^2)*SQRT($AD$58^2+$AE$58^2)))/PI()*180</f>
        <v>37.835495159273862</v>
      </c>
    </row>
    <row r="48" spans="1:36" x14ac:dyDescent="0.3">
      <c r="G48" s="1">
        <v>0.8</v>
      </c>
      <c r="H48">
        <f>G48*control!$B$9/2+control!$B$8</f>
        <v>14</v>
      </c>
      <c r="I48" s="1">
        <f>control!$B$3*TAN('k1'!H48/180*PI())/SQRT(1+TAN('k1'!H48/180*PI())^2+TAN('k1'!$H$46/180*PI())^2)</f>
        <v>0.23845706356958102</v>
      </c>
      <c r="J48">
        <f>control!$B$3*TAN('k1'!$H$46/180*PI())/SQRT(1+TAN('k1'!H48/180*PI())^2+TAN('k1'!$H$46/180*PI())^2)</f>
        <v>-0.16863895578659316</v>
      </c>
      <c r="K48" s="40" t="b">
        <f>(I48^2+J48^2)&gt;=1</f>
        <v>0</v>
      </c>
      <c r="L48" s="40" t="b">
        <f>(I48^2+J48^2)&lt;=control!$B$2^2</f>
        <v>1</v>
      </c>
      <c r="M48">
        <f>ROUND(ASIN(SQRT(I48^2+J48^2)/control!$B$3)/PI()*180,6)</f>
        <v>16.981513</v>
      </c>
      <c r="N48">
        <f>ROUND(ATAN2(I48,J48)/PI()*180,6)</f>
        <v>-35.26829</v>
      </c>
      <c r="O48" s="2">
        <f>ASIN((I48*$J$58-$I$58*J48)/(SQRT(I48^2+J48^2)*SQRT($I$58^2+$J$58^2)))/PI()*180</f>
        <v>-54.731710148010386</v>
      </c>
      <c r="P48">
        <f>I48+$P$4</f>
        <v>-0.89904293643041888</v>
      </c>
      <c r="Q48">
        <f>J48+$Q$4</f>
        <v>-0.1686389557865933</v>
      </c>
      <c r="R48" s="40" t="b">
        <f>(P48^2+Q48^2)&gt;=1</f>
        <v>0</v>
      </c>
      <c r="S48" s="40" t="b">
        <f>(P48^2+Q48^2)&lt;=control!$B$2^2</f>
        <v>1</v>
      </c>
      <c r="T48">
        <f>ROUND(ASIN(SQRT(P48^2+Q48^2)/control!$B$2)/PI()*180,6)</f>
        <v>27.216964999999998</v>
      </c>
      <c r="U48">
        <f>ROUND(ATAN2(P48,Q48)/PI()*180,6)</f>
        <v>-169.37613300000001</v>
      </c>
      <c r="V48" s="2">
        <f>ASIN((P48*$Q$58-$P$58*Q48)/(SQRT(P48^2+Q48^2)*SQRT($P$58^2+$Q$58^2)))/PI()*180</f>
        <v>-10.623866607946979</v>
      </c>
      <c r="W48">
        <f>P48+$W$4</f>
        <v>0.23845706356958085</v>
      </c>
      <c r="X48">
        <f>Q48+$X$4</f>
        <v>0.96886104421340713</v>
      </c>
      <c r="Y48" s="40" t="b">
        <f>(W48^2+X48^2)&gt;=1</f>
        <v>0</v>
      </c>
      <c r="Z48" s="40" t="b">
        <f>(W48^2+X48^2)&lt;=control!$B$2^2</f>
        <v>1</v>
      </c>
      <c r="AA48">
        <f>ROUND(ASIN(SQRT(W48^2+X48^2)/control!$B$2)/PI()*180,6)</f>
        <v>29.926400999999998</v>
      </c>
      <c r="AB48">
        <f>ROUND(ATAN2(W48,X48)/PI()*180,6)</f>
        <v>76.173123000000004</v>
      </c>
      <c r="AC48" s="2">
        <f>ASIN((W48*$X$58-$W$58*X48)/(SQRT(W48^2+X48^2)*SQRT($W$58^2+$X$58^2)))/PI()*180</f>
        <v>13.826877337426113</v>
      </c>
      <c r="AD48">
        <f>W48+$AD$4</f>
        <v>0.23845706356958093</v>
      </c>
      <c r="AE48">
        <f>X48+$AE$4</f>
        <v>-0.16863895578659283</v>
      </c>
      <c r="AF48" s="40" t="b">
        <f>(AD48^2+AE48^2)&gt;=1</f>
        <v>0</v>
      </c>
      <c r="AG48" s="40" t="b">
        <f>(AD48^2+AE48^2)&lt;=control!$B$2^2</f>
        <v>1</v>
      </c>
      <c r="AH48">
        <f>ROUND(ASIN(SQRT(AD48^2+AE48^2)/control!$B$2)/PI()*180,6)</f>
        <v>8.3970190000000002</v>
      </c>
      <c r="AI48">
        <f t="shared" ref="AI48:AI57" si="18">ROUND(ATAN2(AD48,AE48)/PI()*180,6)</f>
        <v>-35.26829</v>
      </c>
      <c r="AJ48" s="2">
        <f t="shared" ref="AJ48:AJ57" si="19">ASIN((AD48*$AE$58-$AD$58*AE48)/(SQRT(AD48^2+AE48^2)*SQRT($AD$58^2+$AE$58^2)))/PI()*180</f>
        <v>31.782772867087164</v>
      </c>
    </row>
    <row r="49" spans="7:36" x14ac:dyDescent="0.3">
      <c r="G49" s="1">
        <v>0.6</v>
      </c>
      <c r="H49">
        <f>G49*control!$B$9/2+control!$B$8</f>
        <v>10.5</v>
      </c>
      <c r="I49" s="1">
        <f>control!$B$3*TAN('k1'!H49/180*PI())/SQRT(1+TAN('k1'!H49/180*PI())^2+TAN('k1'!$H$46/180*PI())^2)</f>
        <v>0.1795568848144925</v>
      </c>
      <c r="J49">
        <f>control!$B$3*TAN('k1'!$H$46/180*PI())/SQRT(1+TAN('k1'!H49/180*PI())^2+TAN('k1'!$H$46/180*PI())^2)</f>
        <v>-0.17082597666591404</v>
      </c>
      <c r="K49" s="40" t="b">
        <f t="shared" ref="K49:K57" si="20">(I49^2+J49^2)&gt;=1</f>
        <v>0</v>
      </c>
      <c r="L49" s="40" t="b">
        <f>(I49^2+J49^2)&lt;=control!$B$2^2</f>
        <v>1</v>
      </c>
      <c r="M49">
        <f>ROUND(ASIN(SQRT(I49^2+J49^2)/control!$B$3)/PI()*180,6)</f>
        <v>14.349436000000001</v>
      </c>
      <c r="N49">
        <f>ROUND(ATAN2(I49,J49)/PI()*180,6)</f>
        <v>-43.572588000000003</v>
      </c>
      <c r="O49" s="2">
        <f>ASIN((I49*$J$58-$I$58*J49)/(SQRT(I49^2+J49^2)*SQRT($I$58^2+$J$58^2)))/PI()*180</f>
        <v>-46.427411968912921</v>
      </c>
      <c r="P49">
        <f>I49+$P$4</f>
        <v>-0.95794311518550745</v>
      </c>
      <c r="Q49">
        <f>J49+$Q$4</f>
        <v>-0.17082597666591418</v>
      </c>
      <c r="R49" s="40" t="b">
        <f t="shared" ref="R49:R57" si="21">(P49^2+Q49^2)&gt;=1</f>
        <v>0</v>
      </c>
      <c r="S49" s="40" t="b">
        <f>(P49^2+Q49^2)&lt;=control!$B$2^2</f>
        <v>1</v>
      </c>
      <c r="T49">
        <f>ROUND(ASIN(SQRT(P49^2+Q49^2)/control!$B$2)/PI()*180,6)</f>
        <v>29.112607000000001</v>
      </c>
      <c r="U49">
        <f>ROUND(ATAN2(P49,Q49)/PI()*180,6)</f>
        <v>-169.88896700000001</v>
      </c>
      <c r="V49" s="2">
        <f>ASIN((P49*$Q$58-$P$58*Q49)/(SQRT(P49^2+Q49^2)*SQRT($P$58^2+$Q$58^2)))/PI()*180</f>
        <v>-10.111032748055118</v>
      </c>
      <c r="W49">
        <f>P49+$W$4</f>
        <v>0.17955688481449228</v>
      </c>
      <c r="X49">
        <f>Q49+$X$4</f>
        <v>0.96667402333408625</v>
      </c>
      <c r="Y49" s="40" t="b">
        <f t="shared" ref="Y49:Y57" si="22">(W49^2+X49^2)&gt;=1</f>
        <v>0</v>
      </c>
      <c r="Z49" s="40" t="b">
        <f>(W49^2+X49^2)&lt;=control!$B$2^2</f>
        <v>1</v>
      </c>
      <c r="AA49">
        <f>ROUND(ASIN(SQRT(W49^2+X49^2)/control!$B$2)/PI()*180,6)</f>
        <v>29.446085</v>
      </c>
      <c r="AB49">
        <f>ROUND(ATAN2(W49,X49)/PI()*180,6)</f>
        <v>79.477399000000005</v>
      </c>
      <c r="AC49" s="2">
        <f>ASIN((W49*$X$58-$W$58*X49)/(SQRT(W49^2+X49^2)*SQRT($W$58^2+$X$58^2)))/PI()*180</f>
        <v>10.52260107186766</v>
      </c>
      <c r="AD49">
        <f>W49+$AD$4</f>
        <v>0.17955688481449236</v>
      </c>
      <c r="AE49">
        <f>X49+$AE$4</f>
        <v>-0.1708259766659137</v>
      </c>
      <c r="AF49" s="40" t="b">
        <f t="shared" ref="AF49:AF57" si="23">(AD49^2+AE49^2)&gt;=1</f>
        <v>0</v>
      </c>
      <c r="AG49" s="40" t="b">
        <f>(AD49^2+AE49^2)&lt;=control!$B$2^2</f>
        <v>1</v>
      </c>
      <c r="AH49">
        <f>ROUND(ASIN(SQRT(AD49^2+AE49^2)/control!$B$2)/PI()*180,6)</f>
        <v>7.1182470000000002</v>
      </c>
      <c r="AI49">
        <f t="shared" si="18"/>
        <v>-43.572588000000003</v>
      </c>
      <c r="AJ49" s="2">
        <f t="shared" si="19"/>
        <v>23.478474687989674</v>
      </c>
    </row>
    <row r="50" spans="7:36" x14ac:dyDescent="0.3">
      <c r="G50" s="1">
        <v>0.4</v>
      </c>
      <c r="H50">
        <f>G50*control!$B$9/2+control!$B$8</f>
        <v>7</v>
      </c>
      <c r="I50" s="1">
        <f>control!$B$3*TAN('k1'!H50/180*PI())/SQRT(1+TAN('k1'!H50/180*PI())^2+TAN('k1'!$H$46/180*PI())^2)</f>
        <v>0.12004475807606822</v>
      </c>
      <c r="J50">
        <f>control!$B$3*TAN('k1'!$H$46/180*PI())/SQRT(1+TAN('k1'!H50/180*PI())^2+TAN('k1'!$H$46/180*PI())^2)</f>
        <v>-0.17239243750010019</v>
      </c>
      <c r="K50" s="40" t="b">
        <f t="shared" si="20"/>
        <v>0</v>
      </c>
      <c r="L50" s="40" t="b">
        <f>(I50^2+J50^2)&lt;=control!$B$2^2</f>
        <v>1</v>
      </c>
      <c r="M50">
        <f>ROUND(ASIN(SQRT(I50^2+J50^2)/control!$B$3)/PI()*180,6)</f>
        <v>12.126523000000001</v>
      </c>
      <c r="N50">
        <f>ROUND(ATAN2(I50,J50)/PI()*180,6)</f>
        <v>-55.148736</v>
      </c>
      <c r="O50" s="2">
        <f>ASIN((I50*$J$58-$I$58*J50)/(SQRT(I50^2+J50^2)*SQRT($I$58^2+$J$58^2)))/PI()*180</f>
        <v>-34.851263749451007</v>
      </c>
      <c r="P50">
        <f>I50+$P$4</f>
        <v>-1.0174552419239318</v>
      </c>
      <c r="Q50">
        <f>J50+$Q$4</f>
        <v>-0.17239243750010033</v>
      </c>
      <c r="R50" s="40" t="b">
        <f t="shared" si="21"/>
        <v>1</v>
      </c>
      <c r="S50" s="40" t="b">
        <f>(P50^2+Q50^2)&lt;=control!$B$2^2</f>
        <v>1</v>
      </c>
      <c r="T50">
        <f>ROUND(ASIN(SQRT(P50^2+Q50^2)/control!$B$2)/PI()*180,6)</f>
        <v>31.062867000000001</v>
      </c>
      <c r="U50">
        <f>ROUND(ATAN2(P50,Q50)/PI()*180,6)</f>
        <v>-170.38342499999999</v>
      </c>
      <c r="V50" s="2">
        <f>ASIN((P50*$Q$58-$P$58*Q50)/(SQRT(P50^2+Q50^2)*SQRT($P$58^2+$Q$58^2)))/PI()*180</f>
        <v>-9.6165745383058248</v>
      </c>
      <c r="W50">
        <f>P50+$W$4</f>
        <v>0.12004475807606796</v>
      </c>
      <c r="X50">
        <f>Q50+$X$4</f>
        <v>0.96510756249990004</v>
      </c>
      <c r="Y50" s="40" t="b">
        <f t="shared" si="22"/>
        <v>0</v>
      </c>
      <c r="Z50" s="40" t="b">
        <f>(W50^2+X50^2)&lt;=control!$B$2^2</f>
        <v>1</v>
      </c>
      <c r="AA50">
        <f>ROUND(ASIN(SQRT(W50^2+X50^2)/control!$B$2)/PI()*180,6)</f>
        <v>29.095870000000001</v>
      </c>
      <c r="AB50">
        <f>ROUND(ATAN2(W50,X50)/PI()*180,6)</f>
        <v>82.909689999999998</v>
      </c>
      <c r="AC50" s="2">
        <f>ASIN((W50*$X$58-$W$58*X50)/(SQRT(W50^2+X50^2)*SQRT($W$58^2+$X$58^2)))/PI()*180</f>
        <v>7.0903103880794225</v>
      </c>
      <c r="AD50">
        <f>W50+$AD$4</f>
        <v>0.12004475807606803</v>
      </c>
      <c r="AE50">
        <f>X50+$AE$4</f>
        <v>-0.17239243750009992</v>
      </c>
      <c r="AF50" s="40" t="b">
        <f t="shared" si="23"/>
        <v>0</v>
      </c>
      <c r="AG50" s="40" t="b">
        <f>(AD50^2+AE50^2)&lt;=control!$B$2^2</f>
        <v>1</v>
      </c>
      <c r="AH50">
        <f>ROUND(ASIN(SQRT(AD50^2+AE50^2)/control!$B$2)/PI()*180,6)</f>
        <v>6.029217</v>
      </c>
      <c r="AI50">
        <f t="shared" si="18"/>
        <v>-55.148736</v>
      </c>
      <c r="AJ50" s="2">
        <f t="shared" si="19"/>
        <v>11.902326468527736</v>
      </c>
    </row>
    <row r="51" spans="7:36" x14ac:dyDescent="0.3">
      <c r="G51" s="1">
        <v>0.2</v>
      </c>
      <c r="H51">
        <f>G51*control!$B$9/2+control!$B$8</f>
        <v>3.5</v>
      </c>
      <c r="I51" s="1">
        <f>control!$B$3*TAN('k1'!H51/180*PI())/SQRT(1+TAN('k1'!H51/180*PI())^2+TAN('k1'!$H$46/180*PI())^2)</f>
        <v>6.0124453547445153E-2</v>
      </c>
      <c r="J51">
        <f>control!$B$3*TAN('k1'!$H$46/180*PI())/SQRT(1+TAN('k1'!H51/180*PI())^2+TAN('k1'!$H$46/180*PI())^2)</f>
        <v>-0.17333402876925988</v>
      </c>
      <c r="K51" s="40" t="b">
        <f t="shared" si="20"/>
        <v>0</v>
      </c>
      <c r="L51" s="40" t="b">
        <f>(I51^2+J51^2)&lt;=control!$B$2^2</f>
        <v>1</v>
      </c>
      <c r="M51">
        <f>ROUND(ASIN(SQRT(I51^2+J51^2)/control!$B$3)/PI()*180,6)</f>
        <v>10.571688</v>
      </c>
      <c r="N51">
        <f>ROUND(ATAN2(I51,J51)/PI()*180,6)</f>
        <v>-70.869850999999997</v>
      </c>
      <c r="O51" s="2">
        <f>ASIN((I51*$J$58-$I$58*J51)/(SQRT(I51^2+J51^2)*SQRT($I$58^2+$J$58^2)))/PI()*180</f>
        <v>-19.130149242486926</v>
      </c>
      <c r="P51">
        <f>I51+$P$4</f>
        <v>-1.0773755464525547</v>
      </c>
      <c r="Q51">
        <f>J51+$Q$4</f>
        <v>-0.17333402876926002</v>
      </c>
      <c r="R51" s="40" t="b">
        <f t="shared" si="21"/>
        <v>1</v>
      </c>
      <c r="S51" s="40" t="b">
        <f>(P51^2+Q51^2)&lt;=control!$B$2^2</f>
        <v>1</v>
      </c>
      <c r="T51">
        <f>ROUND(ASIN(SQRT(P51^2+Q51^2)/control!$B$2)/PI()*180,6)</f>
        <v>33.066698000000002</v>
      </c>
      <c r="U51">
        <f>ROUND(ATAN2(P51,Q51)/PI()*180,6)</f>
        <v>-170.860265</v>
      </c>
      <c r="V51" s="2">
        <f>ASIN((P51*$Q$58-$P$58*Q51)/(SQRT(P51^2+Q51^2)*SQRT($P$58^2+$Q$58^2)))/PI()*180</f>
        <v>-9.1397352089834953</v>
      </c>
      <c r="W51">
        <f>P51+$W$4</f>
        <v>6.0124453547445E-2</v>
      </c>
      <c r="X51">
        <f>Q51+$X$4</f>
        <v>0.96416597123074044</v>
      </c>
      <c r="Y51" s="40" t="b">
        <f t="shared" si="22"/>
        <v>0</v>
      </c>
      <c r="Z51" s="40" t="b">
        <f>(W51^2+X51^2)&lt;=control!$B$2^2</f>
        <v>1</v>
      </c>
      <c r="AA51">
        <f>ROUND(ASIN(SQRT(W51^2+X51^2)/control!$B$2)/PI()*180,6)</f>
        <v>28.88279</v>
      </c>
      <c r="AB51">
        <f>ROUND(ATAN2(W51,X51)/PI()*180,6)</f>
        <v>86.431711000000007</v>
      </c>
      <c r="AC51" s="2">
        <f>ASIN((W51*$X$58-$W$58*X51)/(SQRT(W51^2+X51^2)*SQRT($W$58^2+$X$58^2)))/PI()*180</f>
        <v>3.5682886766594728</v>
      </c>
      <c r="AD51">
        <f>W51+$AD$4</f>
        <v>6.012445354744507E-2</v>
      </c>
      <c r="AE51">
        <f>X51+$AE$4</f>
        <v>-0.17333402876925952</v>
      </c>
      <c r="AF51" s="40" t="b">
        <f t="shared" si="23"/>
        <v>0</v>
      </c>
      <c r="AG51" s="40" t="b">
        <f>(AD51^2+AE51^2)&lt;=control!$B$2^2</f>
        <v>1</v>
      </c>
      <c r="AH51">
        <f>ROUND(ASIN(SQRT(AD51^2+AE51^2)/control!$B$2)/PI()*180,6)</f>
        <v>5.2633020000000004</v>
      </c>
      <c r="AI51">
        <f t="shared" si="18"/>
        <v>-70.869850999999997</v>
      </c>
      <c r="AJ51" s="2">
        <f t="shared" si="19"/>
        <v>-3.818788038436332</v>
      </c>
    </row>
    <row r="52" spans="7:36" x14ac:dyDescent="0.3">
      <c r="G52" s="1">
        <v>0</v>
      </c>
      <c r="H52">
        <f>G52*control!$B$9/2+control!$B$8</f>
        <v>0</v>
      </c>
      <c r="I52" s="1">
        <f>control!$B$3*TAN('k1'!H52/180*PI())/SQRT(1+TAN('k1'!H52/180*PI())^2+TAN('k1'!$H$46/180*PI())^2)</f>
        <v>0</v>
      </c>
      <c r="J52">
        <f>control!$B$3*TAN('k1'!$H$46/180*PI())/SQRT(1+TAN('k1'!H52/180*PI())^2+TAN('k1'!$H$46/180*PI())^2)</f>
        <v>-0.17364817766693036</v>
      </c>
      <c r="K52" s="40" t="b">
        <f t="shared" si="20"/>
        <v>0</v>
      </c>
      <c r="L52" s="40" t="b">
        <f>(I52^2+J52^2)&lt;=control!$B$2^2</f>
        <v>1</v>
      </c>
      <c r="M52">
        <f>ROUND(ASIN(SQRT(I52^2+J52^2)/control!$B$3)/PI()*180,6)</f>
        <v>10</v>
      </c>
      <c r="N52">
        <f>ROUND(ATAN2(I52,J52)/PI()*180,6)</f>
        <v>-90</v>
      </c>
      <c r="O52" s="2">
        <f>ASIN((I52*$J$58-$I$58*J52)/(SQRT(I52^2+J52^2)*SQRT($I$58^2+$J$58^2)))/PI()*180</f>
        <v>0</v>
      </c>
      <c r="P52">
        <f>I52+$P$4</f>
        <v>-1.1375</v>
      </c>
      <c r="Q52">
        <f>J52+$Q$4</f>
        <v>-0.1736481776669305</v>
      </c>
      <c r="R52" s="40" t="b">
        <f t="shared" si="21"/>
        <v>1</v>
      </c>
      <c r="S52" s="40" t="b">
        <f>(P52^2+Q52^2)&lt;=control!$B$2^2</f>
        <v>1</v>
      </c>
      <c r="T52">
        <f>ROUND(ASIN(SQRT(P52^2+Q52^2)/control!$B$2)/PI()*180,6)</f>
        <v>35.123376999999998</v>
      </c>
      <c r="U52">
        <f>ROUND(ATAN2(P52,Q52)/PI()*180,6)</f>
        <v>-171.32036600000001</v>
      </c>
      <c r="V52" s="2">
        <f>ASIN((P52*$Q$58-$P$58*Q52)/(SQRT(P52^2+Q52^2)*SQRT($P$58^2+$Q$58^2)))/PI()*180</f>
        <v>-8.6796335950915324</v>
      </c>
      <c r="W52">
        <f>P52+$W$4</f>
        <v>0</v>
      </c>
      <c r="X52">
        <f>Q52+$X$4</f>
        <v>0.96385182233306987</v>
      </c>
      <c r="Y52" s="40" t="b">
        <f t="shared" si="22"/>
        <v>0</v>
      </c>
      <c r="Z52" s="40" t="b">
        <f>(W52^2+X52^2)&lt;=control!$B$2^2</f>
        <v>1</v>
      </c>
      <c r="AA52">
        <f>ROUND(ASIN(SQRT(W52^2+X52^2)/control!$B$2)/PI()*180,6)</f>
        <v>28.811261999999999</v>
      </c>
      <c r="AB52">
        <f>ROUND(ATAN2(W52,X52)/PI()*180,6)</f>
        <v>90</v>
      </c>
      <c r="AC52" s="2">
        <f>ASIN((W52*$X$58-$W$58*X52)/(SQRT(W52^2+X52^2)*SQRT($W$58^2+$X$58^2)))/PI()*180</f>
        <v>1.1184368110640934E-14</v>
      </c>
      <c r="AD52">
        <f>W52+$AD$4</f>
        <v>6.9680318372927763E-17</v>
      </c>
      <c r="AE52">
        <f>X52+$AE$4</f>
        <v>-0.17364817766693008</v>
      </c>
      <c r="AF52" s="40" t="b">
        <f t="shared" si="23"/>
        <v>0</v>
      </c>
      <c r="AG52" s="40" t="b">
        <f>(AD52^2+AE52^2)&lt;=control!$B$2^2</f>
        <v>1</v>
      </c>
      <c r="AH52">
        <f>ROUND(ASIN(SQRT(AD52^2+AE52^2)/control!$B$2)/PI()*180,6)</f>
        <v>4.980925</v>
      </c>
      <c r="AI52">
        <f t="shared" si="18"/>
        <v>-90</v>
      </c>
      <c r="AJ52" s="2">
        <f t="shared" si="19"/>
        <v>-22.948937280923253</v>
      </c>
    </row>
    <row r="53" spans="7:36" x14ac:dyDescent="0.3">
      <c r="G53" s="1">
        <v>-0.2</v>
      </c>
      <c r="H53">
        <f>G53*control!$B$9/2+control!$B$8</f>
        <v>-3.5</v>
      </c>
      <c r="I53" s="1">
        <f>control!$B$3*TAN('k1'!H53/180*PI())/SQRT(1+TAN('k1'!H53/180*PI())^2+TAN('k1'!$H$46/180*PI())^2)</f>
        <v>-6.0124453547445153E-2</v>
      </c>
      <c r="J53">
        <f>control!$B$3*TAN('k1'!$H$46/180*PI())/SQRT(1+TAN('k1'!H53/180*PI())^2+TAN('k1'!$H$46/180*PI())^2)</f>
        <v>-0.17333402876925988</v>
      </c>
      <c r="K53" s="40" t="b">
        <f t="shared" si="20"/>
        <v>0</v>
      </c>
      <c r="L53" s="40" t="b">
        <f>(I53^2+J53^2)&lt;=control!$B$2^2</f>
        <v>1</v>
      </c>
      <c r="M53">
        <f>ROUND(ASIN(SQRT(I53^2+J53^2)/control!$B$3)/PI()*180,6)</f>
        <v>10.571688</v>
      </c>
      <c r="N53">
        <f>ROUND(ATAN2(I53,J53)/PI()*180,6)</f>
        <v>-109.130149</v>
      </c>
      <c r="O53" s="2">
        <f>ASIN((I53*$J$58-$I$58*J53)/(SQRT(I53^2+J53^2)*SQRT($I$58^2+$J$58^2)))/PI()*180</f>
        <v>19.130149242486926</v>
      </c>
      <c r="P53">
        <f>I53+$P$4</f>
        <v>-1.1976244535474452</v>
      </c>
      <c r="Q53">
        <f>J53+$Q$4</f>
        <v>-0.17333402876926002</v>
      </c>
      <c r="R53" s="40" t="b">
        <f t="shared" si="21"/>
        <v>1</v>
      </c>
      <c r="S53" s="40" t="b">
        <f>(P53^2+Q53^2)&lt;=control!$B$2^2</f>
        <v>1</v>
      </c>
      <c r="T53">
        <f>ROUND(ASIN(SQRT(P53^2+Q53^2)/control!$B$2)/PI()*180,6)</f>
        <v>37.232543999999997</v>
      </c>
      <c r="U53">
        <f>ROUND(ATAN2(P53,Q53)/PI()*180,6)</f>
        <v>-171.764678</v>
      </c>
      <c r="V53" s="2">
        <f>ASIN((P53*$Q$58-$P$58*Q53)/(SQRT(P53^2+Q53^2)*SQRT($P$58^2+$Q$58^2)))/PI()*180</f>
        <v>-8.2353216410057577</v>
      </c>
      <c r="W53">
        <f>P53+$W$4</f>
        <v>-6.0124453547445444E-2</v>
      </c>
      <c r="X53">
        <f>Q53+$X$4</f>
        <v>0.96416597123074044</v>
      </c>
      <c r="Y53" s="40" t="b">
        <f t="shared" si="22"/>
        <v>0</v>
      </c>
      <c r="Z53" s="40" t="b">
        <f>(W53^2+X53^2)&lt;=control!$B$2^2</f>
        <v>1</v>
      </c>
      <c r="AA53">
        <f>ROUND(ASIN(SQRT(W53^2+X53^2)/control!$B$2)/PI()*180,6)</f>
        <v>28.88279</v>
      </c>
      <c r="AB53">
        <f>ROUND(ATAN2(W53,X53)/PI()*180,6)</f>
        <v>93.568288999999993</v>
      </c>
      <c r="AC53" s="2">
        <f>ASIN((W53*$X$58-$W$58*X53)/(SQRT(W53^2+X53^2)*SQRT($W$58^2+$X$58^2)))/PI()*180</f>
        <v>-3.5682886766594768</v>
      </c>
      <c r="AD53">
        <f>W53+$AD$4</f>
        <v>-6.0124453547445375E-2</v>
      </c>
      <c r="AE53">
        <f>X53+$AE$4</f>
        <v>-0.17333402876925952</v>
      </c>
      <c r="AF53" s="40" t="b">
        <f t="shared" si="23"/>
        <v>0</v>
      </c>
      <c r="AG53" s="40" t="b">
        <f>(AD53^2+AE53^2)&lt;=control!$B$2^2</f>
        <v>1</v>
      </c>
      <c r="AH53">
        <f>ROUND(ASIN(SQRT(AD53^2+AE53^2)/control!$B$2)/PI()*180,6)</f>
        <v>5.2633020000000004</v>
      </c>
      <c r="AI53">
        <f t="shared" si="18"/>
        <v>-109.130149</v>
      </c>
      <c r="AJ53" s="2">
        <f t="shared" si="19"/>
        <v>-42.079086523410304</v>
      </c>
    </row>
    <row r="54" spans="7:36" x14ac:dyDescent="0.3">
      <c r="G54" s="1">
        <v>-0.4</v>
      </c>
      <c r="H54">
        <f>G54*control!$B$9/2+control!$B$8</f>
        <v>-7</v>
      </c>
      <c r="I54" s="1">
        <f>control!$B$3*TAN('k1'!H54/180*PI())/SQRT(1+TAN('k1'!H54/180*PI())^2+TAN('k1'!$H$46/180*PI())^2)</f>
        <v>-0.12004475807606822</v>
      </c>
      <c r="J54">
        <f>control!$B$3*TAN('k1'!$H$46/180*PI())/SQRT(1+TAN('k1'!H54/180*PI())^2+TAN('k1'!$H$46/180*PI())^2)</f>
        <v>-0.17239243750010019</v>
      </c>
      <c r="K54" s="40" t="b">
        <f t="shared" si="20"/>
        <v>0</v>
      </c>
      <c r="L54" s="40" t="b">
        <f>(I54^2+J54^2)&lt;=control!$B$2^2</f>
        <v>1</v>
      </c>
      <c r="M54">
        <f>ROUND(ASIN(SQRT(I54^2+J54^2)/control!$B$3)/PI()*180,6)</f>
        <v>12.126523000000001</v>
      </c>
      <c r="N54">
        <f>ROUND(ATAN2(I54,J54)/PI()*180,6)</f>
        <v>-124.851264</v>
      </c>
      <c r="O54" s="2">
        <f>ASIN((I54*$J$58-$I$58*J54)/(SQRT(I54^2+J54^2)*SQRT($I$58^2+$J$58^2)))/PI()*180</f>
        <v>34.851263749451007</v>
      </c>
      <c r="P54">
        <f>I54+$P$4</f>
        <v>-1.2575447580760681</v>
      </c>
      <c r="Q54">
        <f>J54+$Q$4</f>
        <v>-0.17239243750010033</v>
      </c>
      <c r="R54" s="40" t="b">
        <f t="shared" si="21"/>
        <v>1</v>
      </c>
      <c r="S54" s="40" t="b">
        <f>(P54^2+Q54^2)&lt;=control!$B$2^2</f>
        <v>1</v>
      </c>
      <c r="T54">
        <f>ROUND(ASIN(SQRT(P54^2+Q54^2)/control!$B$2)/PI()*180,6)</f>
        <v>39.394257000000003</v>
      </c>
      <c r="U54">
        <f>ROUND(ATAN2(P54,Q54)/PI()*180,6)</f>
        <v>-172.194176</v>
      </c>
      <c r="V54" s="2">
        <f>ASIN((P54*$Q$58-$P$58*Q54)/(SQRT(P54^2+Q54^2)*SQRT($P$58^2+$Q$58^2)))/PI()*180</f>
        <v>-7.8058242738904751</v>
      </c>
      <c r="W54">
        <f>P54+$W$4</f>
        <v>-0.1200447580760684</v>
      </c>
      <c r="X54">
        <f>Q54+$X$4</f>
        <v>0.96510756249990004</v>
      </c>
      <c r="Y54" s="40" t="b">
        <f t="shared" si="22"/>
        <v>0</v>
      </c>
      <c r="Z54" s="40" t="b">
        <f>(W54^2+X54^2)&lt;=control!$B$2^2</f>
        <v>1</v>
      </c>
      <c r="AA54">
        <f>ROUND(ASIN(SQRT(W54^2+X54^2)/control!$B$2)/PI()*180,6)</f>
        <v>29.095870000000001</v>
      </c>
      <c r="AB54">
        <f>ROUND(ATAN2(W54,X54)/PI()*180,6)</f>
        <v>97.090310000000002</v>
      </c>
      <c r="AC54" s="2">
        <f>ASIN((W54*$X$58-$W$58*X54)/(SQRT(W54^2+X54^2)*SQRT($W$58^2+$X$58^2)))/PI()*180</f>
        <v>-7.090310388079426</v>
      </c>
      <c r="AD54">
        <f>W54+$AD$4</f>
        <v>-0.12004475807606833</v>
      </c>
      <c r="AE54">
        <f>X54+$AE$4</f>
        <v>-0.17239243750009992</v>
      </c>
      <c r="AF54" s="40" t="b">
        <f t="shared" si="23"/>
        <v>0</v>
      </c>
      <c r="AG54" s="40" t="b">
        <f>(AD54^2+AE54^2)&lt;=control!$B$2^2</f>
        <v>1</v>
      </c>
      <c r="AH54">
        <f>ROUND(ASIN(SQRT(AD54^2+AE54^2)/control!$B$2)/PI()*180,6)</f>
        <v>6.029217</v>
      </c>
      <c r="AI54">
        <f t="shared" si="18"/>
        <v>-124.851264</v>
      </c>
      <c r="AJ54" s="2">
        <f t="shared" si="19"/>
        <v>-57.800201030374353</v>
      </c>
    </row>
    <row r="55" spans="7:36" x14ac:dyDescent="0.3">
      <c r="G55" s="1">
        <v>-0.6</v>
      </c>
      <c r="H55">
        <f>G55*control!$B$9/2+control!$B$8</f>
        <v>-10.5</v>
      </c>
      <c r="I55" s="1">
        <f>control!$B$3*TAN('k1'!H55/180*PI())/SQRT(1+TAN('k1'!H55/180*PI())^2+TAN('k1'!$H$46/180*PI())^2)</f>
        <v>-0.1795568848144925</v>
      </c>
      <c r="J55">
        <f>control!$B$3*TAN('k1'!$H$46/180*PI())/SQRT(1+TAN('k1'!H55/180*PI())^2+TAN('k1'!$H$46/180*PI())^2)</f>
        <v>-0.17082597666591404</v>
      </c>
      <c r="K55" s="40" t="b">
        <f t="shared" si="20"/>
        <v>0</v>
      </c>
      <c r="L55" s="40" t="b">
        <f>(I55^2+J55^2)&lt;=control!$B$2^2</f>
        <v>1</v>
      </c>
      <c r="M55">
        <f>ROUND(ASIN(SQRT(I55^2+J55^2)/control!$B$3)/PI()*180,6)</f>
        <v>14.349436000000001</v>
      </c>
      <c r="N55">
        <f>ROUND(ATAN2(I55,J55)/PI()*180,6)</f>
        <v>-136.427412</v>
      </c>
      <c r="O55" s="2">
        <f>ASIN((I55*$J$58-$I$58*J55)/(SQRT(I55^2+J55^2)*SQRT($I$58^2+$J$58^2)))/PI()*180</f>
        <v>46.427411968912921</v>
      </c>
      <c r="P55">
        <f>I55+$P$4</f>
        <v>-1.3170568848144923</v>
      </c>
      <c r="Q55">
        <f>J55+$Q$4</f>
        <v>-0.17082597666591418</v>
      </c>
      <c r="R55" s="40" t="b">
        <f t="shared" si="21"/>
        <v>1</v>
      </c>
      <c r="S55" s="40" t="b">
        <f>(P55^2+Q55^2)&lt;=control!$B$2^2</f>
        <v>1</v>
      </c>
      <c r="T55">
        <f>ROUND(ASIN(SQRT(P55^2+Q55^2)/control!$B$2)/PI()*180,6)</f>
        <v>41.609062999999999</v>
      </c>
      <c r="U55">
        <f>ROUND(ATAN2(P55,Q55)/PI()*180,6)</f>
        <v>-172.60983300000001</v>
      </c>
      <c r="V55" s="2">
        <f>ASIN((P55*$Q$58-$P$58*Q55)/(SQRT(P55^2+Q55^2)*SQRT($P$58^2+$Q$58^2)))/PI()*180</f>
        <v>-7.390166651107636</v>
      </c>
      <c r="W55">
        <f>P55+$W$4</f>
        <v>-0.17955688481449261</v>
      </c>
      <c r="X55">
        <f>Q55+$X$4</f>
        <v>0.96667402333408625</v>
      </c>
      <c r="Y55" s="40" t="b">
        <f t="shared" si="22"/>
        <v>0</v>
      </c>
      <c r="Z55" s="40" t="b">
        <f>(W55^2+X55^2)&lt;=control!$B$2^2</f>
        <v>1</v>
      </c>
      <c r="AA55">
        <f>ROUND(ASIN(SQRT(W55^2+X55^2)/control!$B$2)/PI()*180,6)</f>
        <v>29.446085</v>
      </c>
      <c r="AB55">
        <f>ROUND(ATAN2(W55,X55)/PI()*180,6)</f>
        <v>100.52260099999999</v>
      </c>
      <c r="AC55" s="2">
        <f>ASIN((W55*$X$58-$W$58*X55)/(SQRT(W55^2+X55^2)*SQRT($W$58^2+$X$58^2)))/PI()*180</f>
        <v>-10.522601071867655</v>
      </c>
      <c r="AD55">
        <f>W55+$AD$4</f>
        <v>-0.17955688481449253</v>
      </c>
      <c r="AE55">
        <f>X55+$AE$4</f>
        <v>-0.1708259766659137</v>
      </c>
      <c r="AF55" s="40" t="b">
        <f t="shared" si="23"/>
        <v>0</v>
      </c>
      <c r="AG55" s="40" t="b">
        <f>(AD55^2+AE55^2)&lt;=control!$B$2^2</f>
        <v>1</v>
      </c>
      <c r="AH55">
        <f>ROUND(ASIN(SQRT(AD55^2+AE55^2)/control!$B$2)/PI()*180,6)</f>
        <v>7.1182470000000002</v>
      </c>
      <c r="AI55">
        <f t="shared" si="18"/>
        <v>-136.427412</v>
      </c>
      <c r="AJ55" s="2">
        <f t="shared" si="19"/>
        <v>-69.376349249836224</v>
      </c>
    </row>
    <row r="56" spans="7:36" x14ac:dyDescent="0.3">
      <c r="G56" s="1">
        <v>-0.8</v>
      </c>
      <c r="H56">
        <f>G56*control!$B$9/2+control!$B$8</f>
        <v>-14</v>
      </c>
      <c r="I56" s="1">
        <f>control!$B$3*TAN('k1'!H56/180*PI())/SQRT(1+TAN('k1'!H56/180*PI())^2+TAN('k1'!$H$46/180*PI())^2)</f>
        <v>-0.23845706356958102</v>
      </c>
      <c r="J56">
        <f>control!$B$3*TAN('k1'!$H$46/180*PI())/SQRT(1+TAN('k1'!H56/180*PI())^2+TAN('k1'!$H$46/180*PI())^2)</f>
        <v>-0.16863895578659316</v>
      </c>
      <c r="K56" s="40" t="b">
        <f t="shared" si="20"/>
        <v>0</v>
      </c>
      <c r="L56" s="40" t="b">
        <f>(I56^2+J56^2)&lt;=control!$B$2^2</f>
        <v>1</v>
      </c>
      <c r="M56">
        <f>ROUND(ASIN(SQRT(I56^2+J56^2)/control!$B$3)/PI()*180,6)</f>
        <v>16.981513</v>
      </c>
      <c r="N56">
        <f>ROUND(ATAN2(I56,J56)/PI()*180,6)</f>
        <v>-144.73170999999999</v>
      </c>
      <c r="O56" s="2">
        <f>ASIN((I56*$J$58-$I$58*J56)/(SQRT(I56^2+J56^2)*SQRT($I$58^2+$J$58^2)))/PI()*180</f>
        <v>54.731710148010386</v>
      </c>
      <c r="P56">
        <f>I56+$P$4</f>
        <v>-1.375957063569581</v>
      </c>
      <c r="Q56">
        <f>J56+$Q$4</f>
        <v>-0.1686389557865933</v>
      </c>
      <c r="R56" s="40" t="b">
        <f t="shared" si="21"/>
        <v>1</v>
      </c>
      <c r="S56" s="40" t="b">
        <f>(P56^2+Q56^2)&lt;=control!$B$2^2</f>
        <v>1</v>
      </c>
      <c r="T56">
        <f>ROUND(ASIN(SQRT(P56^2+Q56^2)/control!$B$2)/PI()*180,6)</f>
        <v>43.878104999999998</v>
      </c>
      <c r="U56">
        <f>ROUND(ATAN2(P56,Q56)/PI()*180,6)</f>
        <v>-173.012608</v>
      </c>
      <c r="V56" s="2">
        <f>ASIN((P56*$Q$58-$P$58*Q56)/(SQRT(P56^2+Q56^2)*SQRT($P$58^2+$Q$58^2)))/PI()*180</f>
        <v>-6.9873923789534738</v>
      </c>
      <c r="W56">
        <f>P56+$W$4</f>
        <v>-0.2384570635695813</v>
      </c>
      <c r="X56">
        <f>Q56+$X$4</f>
        <v>0.96886104421340713</v>
      </c>
      <c r="Y56" s="40" t="b">
        <f t="shared" si="22"/>
        <v>0</v>
      </c>
      <c r="Z56" s="40" t="b">
        <f>(W56^2+X56^2)&lt;=control!$B$2^2</f>
        <v>1</v>
      </c>
      <c r="AA56">
        <f>ROUND(ASIN(SQRT(W56^2+X56^2)/control!$B$2)/PI()*180,6)</f>
        <v>29.926400999999998</v>
      </c>
      <c r="AB56">
        <f>ROUND(ATAN2(W56,X56)/PI()*180,6)</f>
        <v>103.826877</v>
      </c>
      <c r="AC56" s="2">
        <f>ASIN((W56*$X$58-$W$58*X56)/(SQRT(W56^2+X56^2)*SQRT($W$58^2+$X$58^2)))/PI()*180</f>
        <v>-13.826877337426119</v>
      </c>
      <c r="AD56">
        <f>W56+$AD$4</f>
        <v>-0.23845706356958121</v>
      </c>
      <c r="AE56">
        <f>X56+$AE$4</f>
        <v>-0.16863895578659283</v>
      </c>
      <c r="AF56" s="40" t="b">
        <f t="shared" si="23"/>
        <v>0</v>
      </c>
      <c r="AG56" s="40" t="b">
        <f>(AD56^2+AE56^2)&lt;=control!$B$2^2</f>
        <v>1</v>
      </c>
      <c r="AH56">
        <f>ROUND(ASIN(SQRT(AD56^2+AE56^2)/control!$B$2)/PI()*180,6)</f>
        <v>8.3970190000000002</v>
      </c>
      <c r="AI56">
        <f t="shared" si="18"/>
        <v>-144.73170999999999</v>
      </c>
      <c r="AJ56" s="2">
        <f t="shared" si="19"/>
        <v>-77.680647428933725</v>
      </c>
    </row>
    <row r="57" spans="7:36" x14ac:dyDescent="0.3">
      <c r="G57" s="1">
        <v>-1</v>
      </c>
      <c r="H57">
        <f>G57*control!$B$9/2+control!$B$8</f>
        <v>-17.5</v>
      </c>
      <c r="I57" s="7">
        <f>control!$B$3*TAN('k1'!H57/180*PI())/SQRT(1+TAN('k1'!H57/180*PI())^2+TAN('k1'!$H$46/180*PI())^2)</f>
        <v>-0.29654195678697232</v>
      </c>
      <c r="J57" s="6">
        <f>control!$B$3*TAN('k1'!$H$46/180*PI())/SQRT(1+TAN('k1'!H57/180*PI())^2+TAN('k1'!$H$46/180*PI())^2)</f>
        <v>-0.16583745240358658</v>
      </c>
      <c r="K57" s="6" t="b">
        <f t="shared" si="20"/>
        <v>0</v>
      </c>
      <c r="L57" s="6" t="b">
        <f>(I57^2+J57^2)&lt;=control!$B$2^2</f>
        <v>1</v>
      </c>
      <c r="M57" s="6">
        <f>ROUND(ASIN(SQRT(I57^2+J57^2)/control!$B$3)/PI()*180,6)</f>
        <v>19.862462000000001</v>
      </c>
      <c r="N57" s="6">
        <f>ROUND(ATAN2(I57,J57)/PI()*180,6)</f>
        <v>-150.78443200000001</v>
      </c>
      <c r="O57" s="8">
        <f>ASIN((I57*$J$58-$I$58*J57)/(SQRT(I57^2+J57^2)*SQRT($I$58^2+$J$58^2)))/PI()*180</f>
        <v>60.784432440197115</v>
      </c>
      <c r="P57" s="6">
        <f>I57+$P$4</f>
        <v>-1.4340419567869722</v>
      </c>
      <c r="Q57" s="6">
        <f>J57+$Q$4</f>
        <v>-0.16583745240358672</v>
      </c>
      <c r="R57" s="6" t="b">
        <f t="shared" si="21"/>
        <v>1</v>
      </c>
      <c r="S57" s="6" t="b">
        <f>(P57^2+Q57^2)&lt;=control!$B$2^2</f>
        <v>1</v>
      </c>
      <c r="T57" s="6">
        <f>ROUND(ASIN(SQRT(P57^2+Q57^2)/control!$B$2)/PI()*180,6)</f>
        <v>46.203256000000003</v>
      </c>
      <c r="U57" s="6">
        <f>ROUND(ATAN2(P57,Q57)/PI()*180,6)</f>
        <v>-173.403425</v>
      </c>
      <c r="V57" s="8">
        <f>ASIN((P57*$Q$58-$P$58*Q57)/(SQRT(P57^2+Q57^2)*SQRT($P$58^2+$Q$58^2)))/PI()*180</f>
        <v>-6.5965752904718951</v>
      </c>
      <c r="W57" s="6">
        <f>P57+$W$4</f>
        <v>-0.29654195678697248</v>
      </c>
      <c r="X57" s="6">
        <f>Q57+$X$4</f>
        <v>0.97166254759641368</v>
      </c>
      <c r="Y57" s="6" t="b">
        <f t="shared" si="22"/>
        <v>1</v>
      </c>
      <c r="Z57" s="6" t="b">
        <f>(W57^2+X57^2)&lt;=control!$B$2^2</f>
        <v>1</v>
      </c>
      <c r="AA57" s="6">
        <f>ROUND(ASIN(SQRT(W57^2+X57^2)/control!$B$2)/PI()*180,6)</f>
        <v>30.52758</v>
      </c>
      <c r="AB57" s="6">
        <f>ROUND(ATAN2(W57,X57)/PI()*180,6)</f>
        <v>106.97167899999999</v>
      </c>
      <c r="AC57" s="8">
        <f>ASIN((W57*$X$58-$W$58*X57)/(SQRT(W57^2+X57^2)*SQRT($W$58^2+$X$58^2)))/PI()*180</f>
        <v>-16.971679290355162</v>
      </c>
      <c r="AD57" s="6">
        <f>W57+$AD$4</f>
        <v>-0.29654195678697243</v>
      </c>
      <c r="AE57" s="6">
        <f>X57+$AE$4</f>
        <v>-0.16583745240358627</v>
      </c>
      <c r="AF57" s="6" t="b">
        <f t="shared" si="23"/>
        <v>0</v>
      </c>
      <c r="AG57" s="6" t="b">
        <f>(AD57^2+AE57^2)&lt;=control!$B$2^2</f>
        <v>1</v>
      </c>
      <c r="AH57" s="6">
        <f>ROUND(ASIN(SQRT(AD57^2+AE57^2)/control!$B$2)/PI()*180,6)</f>
        <v>9.7809419999999996</v>
      </c>
      <c r="AI57" s="6">
        <f t="shared" si="18"/>
        <v>-150.78443200000001</v>
      </c>
      <c r="AJ57" s="8">
        <f t="shared" si="19"/>
        <v>-83.733369721120482</v>
      </c>
    </row>
    <row r="58" spans="7:36" x14ac:dyDescent="0.3">
      <c r="I58" s="4">
        <f>AVERAGE(I47:I57,I33:I43,I19:I29,I5:I15)</f>
        <v>0</v>
      </c>
      <c r="J58" s="3">
        <f>AVERAGE(J47:J57,J33:J43,J19:J29,J5:J15)</f>
        <v>-5.0464682937507117E-18</v>
      </c>
      <c r="K58" s="40"/>
      <c r="L58" s="40"/>
      <c r="P58" s="3">
        <f>AVERAGE(P47:P57,P33:P43,P19:P29,P5:P15)</f>
        <v>-1.1375000000000002</v>
      </c>
      <c r="Q58" s="3">
        <f>AVERAGE(Q47:Q57,Q33:Q43,Q19:Q29,Q5:Q15)</f>
        <v>-1.3246979271095617E-16</v>
      </c>
      <c r="R58" s="40"/>
      <c r="S58" s="40"/>
      <c r="W58" s="4">
        <f>AVERAGE(W47:W57,W33:W43,W19:W29,W5:W15)</f>
        <v>-2.2204460492503131E-16</v>
      </c>
      <c r="X58" s="3">
        <f>AVERAGE(X47:X57,X33:X43,X19:X29,X5:X15)</f>
        <v>1.1375000000000004</v>
      </c>
      <c r="Y58" s="40"/>
      <c r="Z58" s="40"/>
      <c r="AD58" s="4">
        <f>AVERAGE(AD47:AD57,AD33:AD43,AD19:AD29,AD5:AD15)</f>
        <v>-1.1859200490314171E-16</v>
      </c>
      <c r="AE58" s="3">
        <f>AVERAGE(AE47:AE57,AE33:AE43,AE19:AE29,AE5:AE15)</f>
        <v>2.8007899030316451E-16</v>
      </c>
      <c r="AF58" s="40"/>
      <c r="AG58" s="40"/>
    </row>
    <row r="59" spans="7:36" x14ac:dyDescent="0.3">
      <c r="J59" s="40"/>
      <c r="K59" s="40" t="s">
        <v>116</v>
      </c>
      <c r="L59" s="40" t="s">
        <v>117</v>
      </c>
      <c r="M59" s="40" t="s">
        <v>118</v>
      </c>
      <c r="N59" s="42" t="s">
        <v>119</v>
      </c>
      <c r="O59" s="2" t="s">
        <v>51</v>
      </c>
      <c r="P59" s="40"/>
      <c r="Q59" s="40"/>
      <c r="R59" s="40" t="s">
        <v>116</v>
      </c>
      <c r="S59" s="40" t="s">
        <v>117</v>
      </c>
      <c r="T59" s="40" t="s">
        <v>118</v>
      </c>
      <c r="U59" s="42" t="s">
        <v>119</v>
      </c>
      <c r="V59" s="2" t="s">
        <v>51</v>
      </c>
      <c r="W59" s="1"/>
      <c r="X59" s="40"/>
      <c r="Y59" s="40" t="s">
        <v>116</v>
      </c>
      <c r="Z59" s="40" t="s">
        <v>117</v>
      </c>
      <c r="AA59" s="40" t="s">
        <v>118</v>
      </c>
      <c r="AB59" s="42" t="s">
        <v>119</v>
      </c>
      <c r="AC59" s="2" t="s">
        <v>51</v>
      </c>
      <c r="AD59" s="1"/>
      <c r="AE59" s="40"/>
      <c r="AF59" s="40" t="s">
        <v>116</v>
      </c>
      <c r="AG59" s="40" t="s">
        <v>117</v>
      </c>
      <c r="AH59" s="40" t="s">
        <v>118</v>
      </c>
      <c r="AI59" s="42" t="s">
        <v>119</v>
      </c>
      <c r="AJ59" s="2" t="s">
        <v>51</v>
      </c>
    </row>
    <row r="60" spans="7:36" x14ac:dyDescent="0.3">
      <c r="I60" s="1" t="s">
        <v>31</v>
      </c>
      <c r="J60" s="40">
        <f>4+MATCH(O60, O5:O57, 0)</f>
        <v>38</v>
      </c>
      <c r="K60" s="1">
        <f ca="1">INDIRECT("I"&amp;'k2'!J60)</f>
        <v>0.30070579950427312</v>
      </c>
      <c r="L60" s="40" cm="1">
        <f t="array" aca="1" ref="L60" ca="1">INDIRECT("J"&amp;'k2'!J60)</f>
        <v>0</v>
      </c>
      <c r="M60" s="40">
        <f>MIN(M5:M57)</f>
        <v>10</v>
      </c>
      <c r="N60" s="40">
        <f ca="1">ATAN2(K60,L60)/PI()*180</f>
        <v>0</v>
      </c>
      <c r="O60" s="2">
        <f>MIN(O47:O57,O33:O43,O19:O29,O5:O15)</f>
        <v>-90</v>
      </c>
      <c r="P60" s="40" t="s">
        <v>31</v>
      </c>
      <c r="Q60" s="40">
        <f>4+MATCH(V60, V5:V57, 0)</f>
        <v>43</v>
      </c>
      <c r="R60" s="1">
        <f ca="1">INDIRECT("P"&amp;'k2'!Q60)</f>
        <v>-0.8409580432130277</v>
      </c>
      <c r="S60" s="40">
        <f ca="1">INDIRECT("Q"&amp;'k2'!Q60)</f>
        <v>-0.16583745240358672</v>
      </c>
      <c r="T60" s="40">
        <f>MIN(T5:T57)</f>
        <v>24.733431</v>
      </c>
      <c r="U60" s="40">
        <f ca="1">ATAN2(R60,S60)/PI()*180</f>
        <v>-168.84437361304145</v>
      </c>
      <c r="V60" s="2">
        <f>MIN(V47:V57,V33:V43,V19:V29,V5:V15)</f>
        <v>-11.155626386958545</v>
      </c>
      <c r="W60" s="40" t="s">
        <v>31</v>
      </c>
      <c r="X60" s="40">
        <f>4+MATCH(AC60, AC5:AC57, 0)</f>
        <v>5</v>
      </c>
      <c r="Y60" s="40">
        <f ca="1">INDIRECT("W"&amp;'k2'!X60)</f>
        <v>-0.29654195678697248</v>
      </c>
      <c r="Z60" s="40">
        <f ca="1">INDIRECT("X"&amp;'k2'!X60)</f>
        <v>0.97166254759641368</v>
      </c>
      <c r="AA60" s="40">
        <f>MIN(AA5:AA57)</f>
        <v>28.811261999999999</v>
      </c>
      <c r="AB60" s="40">
        <f ca="1">ATAN2(Y60,Z60)/PI()*180</f>
        <v>106.97167929035517</v>
      </c>
      <c r="AC60" s="2">
        <f>MIN(AC47:AC57,AC33:AC43,AC19:AC29,AC5:AC15)</f>
        <v>-16.971679290355162</v>
      </c>
      <c r="AD60" s="40" t="s">
        <v>31</v>
      </c>
      <c r="AE60" s="40">
        <f>4+MATCH(AJ60, AJ5:AJ57, 0)</f>
        <v>6</v>
      </c>
      <c r="AF60" s="40">
        <f ca="1">INDIRECT("AD"&amp;'k2'!AE60)</f>
        <v>-0.30003931119635746</v>
      </c>
      <c r="AG60" s="40">
        <f ca="1">INDIRECT("AE"&amp;'k2'!AE60)</f>
        <v>6.654257240975614E-2</v>
      </c>
      <c r="AH60" s="40">
        <f>MIN(AH5:AH57)</f>
        <v>4.980925</v>
      </c>
      <c r="AI60" s="40">
        <f ca="1">ATAN2(AF60,AG60)/PI()*180</f>
        <v>167.49536624454007</v>
      </c>
      <c r="AJ60" s="2">
        <f>MIN(AJ47:AJ57,AJ33:AJ43,AJ19:AJ29,AJ5:AJ15)</f>
        <v>-88.92456018979064</v>
      </c>
    </row>
    <row r="61" spans="7:36" x14ac:dyDescent="0.3">
      <c r="I61" s="1" t="s">
        <v>30</v>
      </c>
      <c r="J61" s="40">
        <f>4+MATCH(O61, O5:O57, 0)</f>
        <v>10</v>
      </c>
      <c r="K61" s="1" cm="1">
        <f t="array" aca="1" ref="K61" ca="1">INDIRECT("I"&amp;'k2'!J61)</f>
        <v>-0.30070579950427312</v>
      </c>
      <c r="L61" s="40" cm="1">
        <f t="array" aca="1" ref="L61" ca="1">INDIRECT("J"&amp;'k2'!J61)</f>
        <v>0</v>
      </c>
      <c r="M61" s="40">
        <f>MAX(M5:M57)</f>
        <v>19.862462000000001</v>
      </c>
      <c r="N61" s="40">
        <f ca="1">ATAN2(K61,L61)/PI()*180</f>
        <v>180</v>
      </c>
      <c r="O61" s="2">
        <f>MAX(O47:O57,O33:O43,O19:O29,O5:O15)</f>
        <v>90</v>
      </c>
      <c r="P61" s="40" t="s">
        <v>30</v>
      </c>
      <c r="Q61" s="40">
        <f>4+MATCH(V61, V5:V57, 0)</f>
        <v>29</v>
      </c>
      <c r="R61" s="1">
        <f ca="1">INDIRECT("P"&amp;'k2'!Q61)</f>
        <v>-0.8409580432130277</v>
      </c>
      <c r="S61" s="40">
        <f ca="1">INDIRECT("Q"&amp;'k2'!Q61)</f>
        <v>0.16583745240358644</v>
      </c>
      <c r="T61" s="40">
        <f>MAX(T5:T57)</f>
        <v>46.203256000000003</v>
      </c>
      <c r="U61" s="40">
        <f ca="1">ATAN2(R61,S61)/PI()*180</f>
        <v>168.84437361304148</v>
      </c>
      <c r="V61" s="2">
        <f>MAX(V47:V57,V33:V43,V19:V29,V5:V15)</f>
        <v>11.155626386958538</v>
      </c>
      <c r="W61" s="40" t="s">
        <v>30</v>
      </c>
      <c r="X61" s="40">
        <f>4+MATCH(AC61, AC5:AC57, 0)</f>
        <v>43</v>
      </c>
      <c r="Y61" s="40">
        <f ca="1">INDIRECT("W"&amp;'k2'!X61)</f>
        <v>0.29654195678697204</v>
      </c>
      <c r="Z61" s="40">
        <f ca="1">INDIRECT("X"&amp;'k2'!X61)</f>
        <v>0.97166254759641368</v>
      </c>
      <c r="AA61" s="40">
        <f>MAX(AA5:AA57)</f>
        <v>41.937809999999999</v>
      </c>
      <c r="AB61" s="40">
        <f ca="1">ATAN2(Y61,Z61)/PI()*180</f>
        <v>73.028320709644845</v>
      </c>
      <c r="AC61" s="2">
        <f>MAX(AC47:AC57,AC33:AC43,AC19:AC29,AC5:AC15)</f>
        <v>16.971679290355169</v>
      </c>
      <c r="AD61" s="40" t="s">
        <v>30</v>
      </c>
      <c r="AE61" s="40">
        <f>4+MATCH(AJ61, AJ5:AJ57, 0)</f>
        <v>34</v>
      </c>
      <c r="AF61" s="40">
        <f ca="1">INDIRECT("AD"&amp;'k2'!AE61)</f>
        <v>0.30003931119635713</v>
      </c>
      <c r="AG61" s="40">
        <f ca="1">INDIRECT("AE"&amp;'k2'!AE61)</f>
        <v>-6.6542572409755474E-2</v>
      </c>
      <c r="AH61" s="40">
        <f>MAX(AH5:AH57)</f>
        <v>9.7809419999999996</v>
      </c>
      <c r="AI61" s="40">
        <f ca="1">ATAN2(AF61,AG61)/PI()*180</f>
        <v>-12.50463375545983</v>
      </c>
      <c r="AJ61" s="2">
        <f>MAX(AJ47:AJ57,AJ33:AJ43,AJ19:AJ29,AJ5:AJ15)</f>
        <v>88.924560189789958</v>
      </c>
    </row>
    <row r="62" spans="7:36" x14ac:dyDescent="0.3">
      <c r="P62" s="40"/>
      <c r="W62" s="1"/>
      <c r="AD62" s="1"/>
    </row>
    <row r="63" spans="7:36" x14ac:dyDescent="0.3">
      <c r="P63" s="40"/>
      <c r="W63" s="1"/>
      <c r="AD63" s="1"/>
    </row>
    <row r="64" spans="7:36" x14ac:dyDescent="0.3">
      <c r="G64" s="37" t="s">
        <v>32</v>
      </c>
      <c r="H64" s="38"/>
      <c r="I64" s="4"/>
      <c r="J64" s="3"/>
      <c r="K64" s="3"/>
      <c r="L64" s="3"/>
      <c r="M64" s="3"/>
      <c r="N64" s="3"/>
      <c r="O64" s="5"/>
      <c r="P64" s="3"/>
      <c r="Q64" s="3"/>
      <c r="R64" s="3"/>
      <c r="S64" s="3"/>
      <c r="T64" s="3"/>
      <c r="U64" s="3"/>
      <c r="V64" s="5"/>
      <c r="W64" s="3"/>
      <c r="X64" s="3"/>
      <c r="Y64" s="3"/>
      <c r="Z64" s="3"/>
      <c r="AA64" s="3"/>
      <c r="AB64" s="3"/>
      <c r="AC64" s="5"/>
      <c r="AD64" s="3"/>
      <c r="AE64" s="3"/>
      <c r="AF64" s="3"/>
      <c r="AG64" s="3"/>
      <c r="AH64" s="3"/>
      <c r="AI64" s="3"/>
      <c r="AJ64" s="5"/>
    </row>
    <row r="65" spans="7:36" x14ac:dyDescent="0.3">
      <c r="G65" s="1" t="s">
        <v>43</v>
      </c>
      <c r="H65" s="2" t="s">
        <v>44</v>
      </c>
      <c r="I65" t="s">
        <v>33</v>
      </c>
      <c r="J65" t="s">
        <v>34</v>
      </c>
      <c r="K65" t="s">
        <v>115</v>
      </c>
      <c r="L65" t="s">
        <v>114</v>
      </c>
      <c r="M65" t="s">
        <v>12</v>
      </c>
      <c r="N65" t="s">
        <v>20</v>
      </c>
      <c r="O65" s="2" t="s">
        <v>20</v>
      </c>
      <c r="P65" t="s">
        <v>33</v>
      </c>
      <c r="Q65" t="s">
        <v>34</v>
      </c>
      <c r="R65" t="s">
        <v>115</v>
      </c>
      <c r="S65" t="s">
        <v>114</v>
      </c>
      <c r="T65" t="s">
        <v>12</v>
      </c>
      <c r="U65" t="s">
        <v>20</v>
      </c>
      <c r="V65" s="2" t="s">
        <v>20</v>
      </c>
      <c r="W65" t="s">
        <v>33</v>
      </c>
      <c r="X65" t="s">
        <v>34</v>
      </c>
      <c r="Y65" t="s">
        <v>115</v>
      </c>
      <c r="Z65" t="s">
        <v>114</v>
      </c>
      <c r="AA65" t="s">
        <v>12</v>
      </c>
      <c r="AB65" t="s">
        <v>20</v>
      </c>
      <c r="AC65" s="2" t="s">
        <v>20</v>
      </c>
      <c r="AD65" t="s">
        <v>33</v>
      </c>
      <c r="AE65" t="s">
        <v>34</v>
      </c>
      <c r="AF65" t="s">
        <v>115</v>
      </c>
      <c r="AG65" t="s">
        <v>114</v>
      </c>
      <c r="AH65" t="s">
        <v>12</v>
      </c>
      <c r="AI65" t="s">
        <v>20</v>
      </c>
      <c r="AJ65" s="2" t="s">
        <v>20</v>
      </c>
    </row>
    <row r="66" spans="7:36" x14ac:dyDescent="0.3">
      <c r="G66" s="1">
        <v>0</v>
      </c>
      <c r="H66" s="11">
        <v>1.0000000000000001E-9</v>
      </c>
      <c r="I66" s="1">
        <f>control!$B$3*TAN('k1'!G66/180*PI())/SQRT(1+TAN('k1'!G66/180*PI())^2+TAN('k1'!$H$66/180*PI())^2)</f>
        <v>0</v>
      </c>
      <c r="J66">
        <f>control!$B$3*TAN('k1'!$H$66/180*PI())/SQRT(1+TAN('k1'!G66/180*PI())^2+TAN('k1'!$H$66/180*PI())^2)</f>
        <v>1.7453292519943298E-11</v>
      </c>
      <c r="K66" s="40" t="b">
        <f t="shared" ref="K66" si="24">(I66^2+J66^2)&gt;=1</f>
        <v>0</v>
      </c>
      <c r="L66" s="40" t="b">
        <f>(I66^2+J66^2)&lt;=control!$B$2^2</f>
        <v>1</v>
      </c>
      <c r="M66">
        <f>ASIN(SQRT(I66^2+J66^2)/control!$B$3)/PI()*180</f>
        <v>1.0000000000000001E-9</v>
      </c>
      <c r="N66">
        <f>ATAN2(I66,J66)/PI()*180</f>
        <v>90</v>
      </c>
      <c r="O66" s="2">
        <f t="shared" ref="O66" si="25">IF(N66&lt;0,N66+360,N66)</f>
        <v>90</v>
      </c>
      <c r="P66">
        <f>I66+$P$4</f>
        <v>-1.1375</v>
      </c>
      <c r="Q66">
        <f>J66+$Q$4</f>
        <v>1.7453153159306552E-11</v>
      </c>
      <c r="R66" s="40" t="b">
        <f t="shared" ref="R66" si="26">(P66^2+Q66^2)&gt;=1</f>
        <v>1</v>
      </c>
      <c r="S66" s="40" t="b">
        <f>(P66^2+Q66^2)&lt;=control!$B$2^2</f>
        <v>1</v>
      </c>
      <c r="T66">
        <f>ASIN(SQRT(P66^2+Q66^2)/control!$B$2)/PI()*180</f>
        <v>34.663105373329373</v>
      </c>
      <c r="U66">
        <f>ATAN2(P66,Q66)/PI()*180</f>
        <v>179.99999999912092</v>
      </c>
      <c r="V66" s="2">
        <f t="shared" ref="V66" si="27">IF(U66&lt;0,U66+360,U66)</f>
        <v>179.99999999912092</v>
      </c>
      <c r="W66">
        <f>P66+$W$4</f>
        <v>0</v>
      </c>
      <c r="X66">
        <f>Q66+$X$4</f>
        <v>1.1375000000174535</v>
      </c>
      <c r="Y66" s="40" t="b">
        <f t="shared" ref="Y66" si="28">(W66^2+X66^2)&gt;=1</f>
        <v>1</v>
      </c>
      <c r="Z66" s="40" t="b">
        <f>(W66^2+X66^2)&lt;=control!$B$2^2</f>
        <v>1</v>
      </c>
      <c r="AA66">
        <f>ASIN(SQRT(W66^2+X66^2)/control!$B$2)/PI()*180</f>
        <v>34.663105373937285</v>
      </c>
      <c r="AB66">
        <f>ATAN2(W66,X66)/PI()*180</f>
        <v>90</v>
      </c>
      <c r="AC66" s="2">
        <f t="shared" ref="AC66" si="29">IF(AB66&lt;0,AB66+360,AB66)</f>
        <v>90</v>
      </c>
      <c r="AD66">
        <f>W66+$AD$4</f>
        <v>6.9680318372927763E-17</v>
      </c>
      <c r="AE66">
        <f>X66+$AE$4</f>
        <v>1.7453594125527161E-11</v>
      </c>
      <c r="AF66" s="40" t="b">
        <f t="shared" ref="AF66" si="30">(AD66^2+AE66^2)&gt;=1</f>
        <v>0</v>
      </c>
      <c r="AG66" s="40" t="b">
        <f>(AD66^2+AE66^2)&lt;=control!$B$2^2</f>
        <v>1</v>
      </c>
      <c r="AH66">
        <f>ASIN(SQRT(AD66^2+AE66^2)/control!$B$3)/PI()*180</f>
        <v>1.0000172807350024E-9</v>
      </c>
      <c r="AI66">
        <f>ATAN2(AD66,AE66)/PI()*180</f>
        <v>89.999771256961225</v>
      </c>
      <c r="AJ66" s="2">
        <f t="shared" ref="AJ66" si="31">IF(AI66&lt;0,AI66+360,AI66)</f>
        <v>89.999771256961225</v>
      </c>
    </row>
    <row r="67" spans="7:36" x14ac:dyDescent="0.3">
      <c r="P67" s="40"/>
      <c r="V67"/>
      <c r="W67" s="1"/>
      <c r="AD67" s="1"/>
    </row>
    <row r="68" spans="7:36" x14ac:dyDescent="0.3">
      <c r="P68" s="40"/>
      <c r="V68"/>
      <c r="W68" s="1"/>
      <c r="AD68" s="1"/>
    </row>
    <row r="69" spans="7:36" x14ac:dyDescent="0.3">
      <c r="P69" s="40"/>
      <c r="W69" s="1"/>
      <c r="AD69" s="1"/>
    </row>
    <row r="70" spans="7:36" x14ac:dyDescent="0.3">
      <c r="P70" s="40"/>
      <c r="W70" s="1"/>
      <c r="AD70" s="1"/>
    </row>
    <row r="71" spans="7:36" x14ac:dyDescent="0.3">
      <c r="P71" s="40"/>
      <c r="W71" s="1"/>
      <c r="AD71" s="1"/>
    </row>
    <row r="83" spans="8:9" x14ac:dyDescent="0.3">
      <c r="H83" s="2"/>
      <c r="I83"/>
    </row>
    <row r="84" spans="8:9" x14ac:dyDescent="0.3">
      <c r="H84" s="2"/>
      <c r="I84"/>
    </row>
  </sheetData>
  <mergeCells count="7">
    <mergeCell ref="AD1:AJ1"/>
    <mergeCell ref="I1:O1"/>
    <mergeCell ref="A1:C1"/>
    <mergeCell ref="D1:F1"/>
    <mergeCell ref="G64:H64"/>
    <mergeCell ref="P1:V1"/>
    <mergeCell ref="W1:AC1"/>
  </mergeCells>
  <phoneticPr fontId="1" type="noConversion"/>
  <conditionalFormatting sqref="K5:L57 R5:S57 Y5:Z57 AF5:AG57 K66:L66 R66:S66 Y66:Z66 AF66:AG66">
    <cfRule type="containsText" dxfId="22" priority="1" operator="containsText" text="FALSE">
      <formula>NOT(ISERROR(SEARCH("FALSE",K5)))</formula>
    </cfRule>
    <cfRule type="containsText" dxfId="21" priority="2" operator="containsText" text="TRUE">
      <formula>NOT(ISERROR(SEARCH("TRUE",K5)))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6DB8-7635-4C4E-A672-EB7AC6A613E3}">
  <dimension ref="A1:AK84"/>
  <sheetViews>
    <sheetView topLeftCell="G43" zoomScaleNormal="100" workbookViewId="0">
      <selection activeCell="G64" sqref="G64:AJ66"/>
    </sheetView>
  </sheetViews>
  <sheetFormatPr defaultRowHeight="16.2" x14ac:dyDescent="0.3"/>
  <cols>
    <col min="2" max="2" width="9.44140625" bestFit="1" customWidth="1"/>
    <col min="5" max="5" width="9.44140625" bestFit="1" customWidth="1"/>
    <col min="7" max="7" width="9" style="1"/>
    <col min="9" max="9" width="8.77734375" style="1" customWidth="1"/>
    <col min="10" max="14" width="8.77734375" style="40" customWidth="1"/>
    <col min="15" max="15" width="8.77734375" style="2" customWidth="1"/>
    <col min="16" max="21" width="8.77734375" style="40" customWidth="1"/>
    <col min="22" max="22" width="8.77734375" style="2" customWidth="1"/>
    <col min="23" max="23" width="8.77734375" style="1" customWidth="1"/>
    <col min="24" max="28" width="8.77734375" style="40" customWidth="1"/>
    <col min="29" max="29" width="8.77734375" style="2" customWidth="1"/>
    <col min="30" max="30" width="8.77734375" style="1" customWidth="1"/>
    <col min="31" max="35" width="8.77734375" style="40" customWidth="1"/>
    <col min="36" max="36" width="8.77734375" style="2" customWidth="1"/>
  </cols>
  <sheetData>
    <row r="1" spans="1:36" x14ac:dyDescent="0.3">
      <c r="A1" s="31" t="s">
        <v>7</v>
      </c>
      <c r="B1" s="31"/>
      <c r="C1" s="31"/>
      <c r="D1" s="31" t="s">
        <v>11</v>
      </c>
      <c r="E1" s="31"/>
      <c r="F1" s="31"/>
      <c r="I1" s="35" t="s">
        <v>21</v>
      </c>
      <c r="J1" s="41"/>
      <c r="K1" s="41"/>
      <c r="L1" s="41"/>
      <c r="M1" s="41"/>
      <c r="N1" s="41"/>
      <c r="O1" s="36"/>
      <c r="P1" s="35" t="s">
        <v>17</v>
      </c>
      <c r="Q1" s="41"/>
      <c r="R1" s="41"/>
      <c r="S1" s="41"/>
      <c r="T1" s="41"/>
      <c r="U1" s="41"/>
      <c r="V1" s="36"/>
      <c r="W1" s="35" t="s">
        <v>18</v>
      </c>
      <c r="X1" s="41"/>
      <c r="Y1" s="41"/>
      <c r="Z1" s="41"/>
      <c r="AA1" s="41"/>
      <c r="AB1" s="41"/>
      <c r="AC1" s="36"/>
      <c r="AD1" s="35" t="s">
        <v>19</v>
      </c>
      <c r="AE1" s="41"/>
      <c r="AF1" s="41"/>
      <c r="AG1" s="41"/>
      <c r="AH1" s="41"/>
      <c r="AI1" s="41"/>
      <c r="AJ1" s="36"/>
    </row>
    <row r="2" spans="1:36" x14ac:dyDescent="0.3">
      <c r="A2" t="s">
        <v>10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P2" s="40">
        <v>1</v>
      </c>
      <c r="Q2" s="40">
        <v>0</v>
      </c>
      <c r="W2" s="1">
        <v>1</v>
      </c>
      <c r="X2" s="40">
        <v>0</v>
      </c>
      <c r="AD2" s="1">
        <v>1</v>
      </c>
      <c r="AE2" s="40">
        <v>0</v>
      </c>
    </row>
    <row r="3" spans="1:36" x14ac:dyDescent="0.3">
      <c r="A3">
        <v>0</v>
      </c>
      <c r="B3">
        <f>control!$B$3*COS('k2'!A3/180*PI())</f>
        <v>1</v>
      </c>
      <c r="C3">
        <f>control!$B$3*SIN('k2'!A3/180*PI())</f>
        <v>0</v>
      </c>
      <c r="D3">
        <v>0</v>
      </c>
      <c r="E3">
        <f>control!$B$2*COS('k2'!D3/180*PI())</f>
        <v>2</v>
      </c>
      <c r="F3">
        <f>control!$B$2*SIN('k2'!D3/180*PI())</f>
        <v>0</v>
      </c>
      <c r="G3" s="1" t="s">
        <v>14</v>
      </c>
      <c r="H3">
        <v>-1</v>
      </c>
      <c r="P3" s="40">
        <f>P2*control!$C$6/control!$B$12</f>
        <v>1.3125</v>
      </c>
      <c r="Q3" s="40">
        <v>0</v>
      </c>
      <c r="W3" s="1">
        <f>W2*control!$C$6/control!$B$13</f>
        <v>1.8561553006146876</v>
      </c>
      <c r="X3" s="40">
        <v>0</v>
      </c>
      <c r="AD3" s="1">
        <f>AD2*control!$C$6/control!$B$14</f>
        <v>1.3125</v>
      </c>
      <c r="AE3" s="40">
        <v>0</v>
      </c>
    </row>
    <row r="4" spans="1:36" x14ac:dyDescent="0.3">
      <c r="A4">
        <v>10</v>
      </c>
      <c r="B4">
        <f>control!$B$3*COS('k2'!A4/180*PI())</f>
        <v>0.98480775301220802</v>
      </c>
      <c r="C4">
        <f>control!$B$3*SIN('k2'!A4/180*PI())</f>
        <v>0.17364817766693033</v>
      </c>
      <c r="D4">
        <v>10</v>
      </c>
      <c r="E4">
        <f>control!$B$2*COS('k2'!D4/180*PI())</f>
        <v>1.969615506024416</v>
      </c>
      <c r="F4">
        <f>control!$B$2*SIN('k2'!D4/180*PI())</f>
        <v>0.34729635533386066</v>
      </c>
      <c r="H4">
        <f>H3*control!$B$9/2+control!$B$8</f>
        <v>-17.5</v>
      </c>
      <c r="I4" s="7" t="s">
        <v>33</v>
      </c>
      <c r="J4" s="6" t="s">
        <v>34</v>
      </c>
      <c r="K4" s="40" t="s">
        <v>115</v>
      </c>
      <c r="L4" s="40" t="s">
        <v>114</v>
      </c>
      <c r="M4" s="6" t="s">
        <v>12</v>
      </c>
      <c r="N4" s="6" t="s">
        <v>20</v>
      </c>
      <c r="O4" s="2" t="s">
        <v>51</v>
      </c>
      <c r="P4" s="6">
        <f>P3*COS(control!$C$12/180*PI())+Q3*COS(control!$E$12/180*PI())</f>
        <v>-1.3125</v>
      </c>
      <c r="Q4" s="6">
        <f>P3*SIN(control!$C$12/180*PI())+Q3*SIN(control!$E$12/180*PI())</f>
        <v>-1.6080073470675638E-16</v>
      </c>
      <c r="R4" s="40" t="s">
        <v>115</v>
      </c>
      <c r="S4" s="40" t="s">
        <v>114</v>
      </c>
      <c r="T4" s="6" t="s">
        <v>12</v>
      </c>
      <c r="U4" s="6" t="s">
        <v>20</v>
      </c>
      <c r="V4" s="8" t="s">
        <v>51</v>
      </c>
      <c r="W4" s="7">
        <f>W3*COS(control!$C$13/180*PI())+X3*COS(control!$E$13/180*PI())</f>
        <v>1.3125</v>
      </c>
      <c r="X4" s="6">
        <f>W3*SIN(control!$C$13/180*PI())+X3*SIN(control!$E$13/180*PI())</f>
        <v>1.3125000000000004</v>
      </c>
      <c r="Y4" s="40" t="s">
        <v>115</v>
      </c>
      <c r="Z4" s="40" t="s">
        <v>114</v>
      </c>
      <c r="AA4" s="6" t="s">
        <v>12</v>
      </c>
      <c r="AB4" s="6" t="s">
        <v>20</v>
      </c>
      <c r="AC4" s="2" t="s">
        <v>51</v>
      </c>
      <c r="AD4" s="7">
        <f>AD3*COS(control!$C$14/180*PI())+AE3*COS(control!$E$14/180*PI())</f>
        <v>8.0400367353378188E-17</v>
      </c>
      <c r="AE4" s="6">
        <f>AD3*SIN(control!$C$14/180*PI())+AE3*SIN(control!$E$14/180*PI())</f>
        <v>-1.3125</v>
      </c>
      <c r="AF4" s="40" t="s">
        <v>115</v>
      </c>
      <c r="AG4" s="40" t="s">
        <v>114</v>
      </c>
      <c r="AH4" s="6" t="s">
        <v>12</v>
      </c>
      <c r="AI4" s="6" t="s">
        <v>20</v>
      </c>
      <c r="AJ4" s="2" t="s">
        <v>51</v>
      </c>
    </row>
    <row r="5" spans="1:36" x14ac:dyDescent="0.3">
      <c r="A5">
        <v>20</v>
      </c>
      <c r="B5">
        <f>control!$B$3*COS('k2'!A5/180*PI())</f>
        <v>0.93969262078590843</v>
      </c>
      <c r="C5">
        <f>control!$B$3*SIN('k2'!A5/180*PI())</f>
        <v>0.34202014332566871</v>
      </c>
      <c r="D5">
        <v>20</v>
      </c>
      <c r="E5">
        <f>control!$B$2*COS('k2'!D5/180*PI())</f>
        <v>1.8793852415718169</v>
      </c>
      <c r="F5">
        <f>control!$B$2*SIN('k2'!D5/180*PI())</f>
        <v>0.68404028665133743</v>
      </c>
      <c r="G5" s="1">
        <v>-1</v>
      </c>
      <c r="H5">
        <f>G5*control!$C$9/2+control!$C$8</f>
        <v>-10</v>
      </c>
      <c r="I5" s="1">
        <f>control!$B$3*TAN('k2'!$H$4/180*PI())/SQRT(1+TAN('k2'!$H$4/180*PI())^2+TAN('k2'!H5/180*PI())^2)</f>
        <v>-0.29654195678697232</v>
      </c>
      <c r="J5" s="40">
        <f>control!$B$3*TAN('k2'!H5/180*PI())/SQRT(1+TAN('k2'!$H$4/180*PI())^2+TAN('k2'!H5/180*PI())^2)</f>
        <v>-0.16583745240358658</v>
      </c>
      <c r="K5" s="3" t="b">
        <f>(I5^2+J5^2)&gt;=1</f>
        <v>0</v>
      </c>
      <c r="L5" s="3" t="b">
        <f>(I5^2+J5^2)&lt;=control!$B$2^2</f>
        <v>1</v>
      </c>
      <c r="M5" s="40">
        <f>ASIN(SQRT(I5^2+J5^2)/control!$B$3)/PI()*180</f>
        <v>19.862462001023477</v>
      </c>
      <c r="N5" s="40">
        <f>ATAN2(I5,J5)/PI()*180</f>
        <v>-150.78443244019712</v>
      </c>
      <c r="O5" s="5">
        <f>ASIN((I5*$J$58-$I$58*J5)/(SQRT(I5^2+J5^2)*SQRT($I$58^2+$J$58^2)))/PI()*180</f>
        <v>60.784432440197115</v>
      </c>
      <c r="P5" s="40">
        <f t="shared" ref="P5:P15" si="0">I5+$P$4</f>
        <v>-1.6090419567869723</v>
      </c>
      <c r="Q5" s="40">
        <f t="shared" ref="Q5:Q15" si="1">J5+$Q$4</f>
        <v>-0.16583745240358674</v>
      </c>
      <c r="R5" s="3" t="b">
        <f>(P5^2+Q5^2)&gt;=1</f>
        <v>1</v>
      </c>
      <c r="S5" s="3" t="b">
        <f>(P5^2+Q5^2)&lt;=control!$B$2^2</f>
        <v>1</v>
      </c>
      <c r="T5" s="40">
        <f>ASIN(SQRT(P5^2+Q5^2)/control!$B$2)/PI()*180</f>
        <v>53.977171709163812</v>
      </c>
      <c r="U5" s="40">
        <f>ATAN2(P5,Q5)/PI()*180</f>
        <v>-174.1155329371808</v>
      </c>
      <c r="V5" s="5">
        <f>ASIN((P5*$Q$58-$P$58*Q5)/(SQRT(P5^2+Q5^2)*SQRT($P$58^2+$Q$58^2)))/PI()*180</f>
        <v>-5.8844670628191889</v>
      </c>
      <c r="W5" s="1">
        <f t="shared" ref="W5:W15" si="2">P5+$W$4</f>
        <v>-0.29654195678697226</v>
      </c>
      <c r="X5" s="40">
        <f t="shared" ref="X5:X15" si="3">Q5+$X$4</f>
        <v>1.1466625475964136</v>
      </c>
      <c r="Y5" s="3" t="b">
        <f>(W5^2+X5^2)&gt;=1</f>
        <v>1</v>
      </c>
      <c r="Z5" s="3" t="b">
        <f>(W5^2+X5^2)&lt;=control!$B$2^2</f>
        <v>1</v>
      </c>
      <c r="AA5" s="40">
        <f>ASIN(SQRT(W5^2+X5^2)/control!$B$2)/PI()*180</f>
        <v>36.312814073616266</v>
      </c>
      <c r="AB5" s="40">
        <f>ATAN2(W5,X5)/PI()*180</f>
        <v>104.49975920508922</v>
      </c>
      <c r="AC5" s="5">
        <f>ASIN((W5*$X$58-$W$58*X5)/(SQRT(W5^2+X5^2)*SQRT($W$58^2+$X$58^2)))/PI()*180</f>
        <v>-14.499759205089219</v>
      </c>
      <c r="AD5" s="40">
        <f t="shared" ref="AD5:AD15" si="4">W5+$AD$4</f>
        <v>-0.29654195678697221</v>
      </c>
      <c r="AE5" s="40">
        <f>X5+$AE$4</f>
        <v>-0.16583745240358638</v>
      </c>
      <c r="AF5" s="3" t="b">
        <f>(AD5^2+AE5^2)&gt;=1</f>
        <v>0</v>
      </c>
      <c r="AG5" s="3" t="b">
        <f>(AD5^2+AE5^2)&lt;=control!$B$2^2</f>
        <v>1</v>
      </c>
      <c r="AH5" s="40">
        <f>ASIN(SQRT(AD5^2+AE5^2)/control!$B$3)/PI()*180</f>
        <v>19.862462001023463</v>
      </c>
      <c r="AI5" s="40">
        <f>ATAN2(AD5,AE5)/PI()*180</f>
        <v>-150.78443244019712</v>
      </c>
      <c r="AJ5" s="5">
        <f>ASIN((AD5*$AE$58-$AD$58*AE5)/(SQRT(AD5^2+AE5^2)*SQRT($AD$58^2+$AE$58^2)))/PI()*180</f>
        <v>-47.267864331405811</v>
      </c>
    </row>
    <row r="6" spans="1:36" x14ac:dyDescent="0.3">
      <c r="A6">
        <v>30</v>
      </c>
      <c r="B6">
        <f>control!$B$3*COS('k2'!A6/180*PI())</f>
        <v>0.86602540378443871</v>
      </c>
      <c r="C6">
        <f>control!$B$3*SIN('k2'!A6/180*PI())</f>
        <v>0.49999999999999994</v>
      </c>
      <c r="D6">
        <v>30</v>
      </c>
      <c r="E6">
        <f>control!$B$2*COS('k2'!D6/180*PI())</f>
        <v>1.7320508075688774</v>
      </c>
      <c r="F6">
        <f>control!$B$2*SIN('k2'!D6/180*PI())</f>
        <v>0.99999999999999989</v>
      </c>
      <c r="G6" s="1">
        <v>-0.8</v>
      </c>
      <c r="H6">
        <f>G6*control!$C$9/2+control!$C$8</f>
        <v>-8</v>
      </c>
      <c r="I6" s="1">
        <f>control!$B$3*TAN('k2'!$H$4/180*PI())/SQRT(1+TAN('k2'!$H$4/180*PI())^2+TAN('k2'!H6/180*PI())^2)</f>
        <v>-0.29804046508194998</v>
      </c>
      <c r="J6" s="40">
        <f>control!$B$3*TAN('k2'!H6/180*PI())/SQRT(1+TAN('k2'!$H$4/180*PI())^2+TAN('k2'!H6/180*PI())^2)</f>
        <v>-0.13284813394504671</v>
      </c>
      <c r="K6" s="40" t="b">
        <f>(I6^2+J6^2)&gt;=1</f>
        <v>0</v>
      </c>
      <c r="L6" s="40" t="b">
        <f>(I6^2+J6^2)&lt;=control!$B$2^2</f>
        <v>1</v>
      </c>
      <c r="M6" s="40">
        <f>ASIN(SQRT(I6^2+J6^2)/control!$B$3)/PI()*180</f>
        <v>19.044823258221381</v>
      </c>
      <c r="N6" s="40">
        <f t="shared" ref="N6:N15" si="5">ATAN2(I6,J6)/PI()*180</f>
        <v>-155.97562290886725</v>
      </c>
      <c r="O6" s="2">
        <f t="shared" ref="O6:O15" si="6">ASIN((I6*$J$58-$I$58*J6)/(SQRT(I6^2+J6^2)*SQRT($I$58^2+$J$58^2)))/PI()*180</f>
        <v>65.975622908867265</v>
      </c>
      <c r="P6" s="40">
        <f t="shared" si="0"/>
        <v>-1.6105404650819499</v>
      </c>
      <c r="Q6" s="40">
        <f t="shared" si="1"/>
        <v>-0.13284813394504688</v>
      </c>
      <c r="R6" s="40" t="b">
        <f>(P6^2+Q6^2)&gt;=1</f>
        <v>1</v>
      </c>
      <c r="S6" s="40" t="b">
        <f>(P6^2+Q6^2)&lt;=control!$B$2^2</f>
        <v>1</v>
      </c>
      <c r="T6" s="40">
        <f>ASIN(SQRT(P6^2+Q6^2)/control!$B$2)/PI()*180</f>
        <v>53.901483458930649</v>
      </c>
      <c r="U6" s="40">
        <f t="shared" ref="U6:U15" si="7">ATAN2(P6,Q6)/PI()*180</f>
        <v>-175.28453685855635</v>
      </c>
      <c r="V6" s="2">
        <f t="shared" ref="V6:V43" si="8">ASIN((P6*$Q$58-$P$58*Q6)/(SQRT(P6^2+Q6^2)*SQRT($P$58^2+$Q$58^2)))/PI()*180</f>
        <v>-4.7154631414436414</v>
      </c>
      <c r="W6" s="1">
        <f t="shared" si="2"/>
        <v>-0.29804046508194992</v>
      </c>
      <c r="X6" s="40">
        <f t="shared" si="3"/>
        <v>1.1796518660549535</v>
      </c>
      <c r="Y6" s="40" t="b">
        <f>(W6^2+X6^2)&gt;=1</f>
        <v>1</v>
      </c>
      <c r="Z6" s="40" t="b">
        <f>(W6^2+X6^2)&lt;=control!$B$2^2</f>
        <v>1</v>
      </c>
      <c r="AA6" s="40">
        <f>ASIN(SQRT(W6^2+X6^2)/control!$B$2)/PI()*180</f>
        <v>37.471000957334979</v>
      </c>
      <c r="AB6" s="40">
        <f t="shared" ref="AB6:AB15" si="9">ATAN2(W6,X6)/PI()*180</f>
        <v>104.17912142107859</v>
      </c>
      <c r="AC6" s="2">
        <f t="shared" ref="AC6:AC15" si="10">ASIN((W6*$X$58-$W$58*X6)/(SQRT(W6^2+X6^2)*SQRT($W$58^2+$X$58^2)))/PI()*180</f>
        <v>-14.179121421078591</v>
      </c>
      <c r="AD6" s="40">
        <f t="shared" si="4"/>
        <v>-0.29804046508194987</v>
      </c>
      <c r="AE6" s="40">
        <f>X6+$AE$4</f>
        <v>-0.13284813394504646</v>
      </c>
      <c r="AF6" s="40" t="b">
        <f>(AD6^2+AE6^2)&gt;=1</f>
        <v>0</v>
      </c>
      <c r="AG6" s="40" t="b">
        <f>(AD6^2+AE6^2)&lt;=control!$B$2^2</f>
        <v>1</v>
      </c>
      <c r="AH6" s="40">
        <f>ASIN(SQRT(AD6^2+AE6^2)/control!$B$3)/PI()*180</f>
        <v>19.044823258221374</v>
      </c>
      <c r="AI6" s="40">
        <f>ATAN2(AD6,AE6)/PI()*180</f>
        <v>-155.97562290886728</v>
      </c>
      <c r="AJ6" s="2">
        <f>ASIN((AD6*$AE$58-$AD$58*AE6)/(SQRT(AD6^2+AE6^2)*SQRT($AD$58^2+$AE$58^2)))/PI()*180</f>
        <v>-52.45905480007594</v>
      </c>
    </row>
    <row r="7" spans="1:36" x14ac:dyDescent="0.3">
      <c r="A7">
        <v>40</v>
      </c>
      <c r="B7">
        <f>control!$B$3*COS('k2'!A7/180*PI())</f>
        <v>0.76604444311897801</v>
      </c>
      <c r="C7">
        <f>control!$B$3*SIN('k2'!A7/180*PI())</f>
        <v>0.64278760968653925</v>
      </c>
      <c r="D7">
        <v>40</v>
      </c>
      <c r="E7">
        <f>control!$B$2*COS('k2'!D7/180*PI())</f>
        <v>1.532088886237956</v>
      </c>
      <c r="F7">
        <f>control!$B$2*SIN('k2'!D7/180*PI())</f>
        <v>1.2855752193730785</v>
      </c>
      <c r="G7" s="1">
        <v>-0.6</v>
      </c>
      <c r="H7">
        <f>G7*control!$C$9/2+control!$C$8</f>
        <v>-6</v>
      </c>
      <c r="I7" s="1">
        <f>control!$B$3*TAN('k2'!$H$4/180*PI())/SQRT(1+TAN('k2'!$H$4/180*PI())^2+TAN('k2'!H7/180*PI())^2)</f>
        <v>-0.29920634470024859</v>
      </c>
      <c r="J7" s="40">
        <f>control!$B$3*TAN('k2'!H7/180*PI())/SQRT(1+TAN('k2'!$H$4/180*PI())^2+TAN('k2'!H7/180*PI())^2)</f>
        <v>-9.9739850438906014E-2</v>
      </c>
      <c r="K7" s="40" t="b">
        <f t="shared" ref="K7:K15" si="11">(I7^2+J7^2)&gt;=1</f>
        <v>0</v>
      </c>
      <c r="L7" s="40" t="b">
        <f>(I7^2+J7^2)&lt;=control!$B$2^2</f>
        <v>1</v>
      </c>
      <c r="M7" s="40">
        <f>ASIN(SQRT(I7^2+J7^2)/control!$B$3)/PI()*180</f>
        <v>18.384514627439579</v>
      </c>
      <c r="N7" s="40">
        <f t="shared" si="5"/>
        <v>-161.5642924899123</v>
      </c>
      <c r="O7" s="2">
        <f t="shared" si="6"/>
        <v>71.564292489912305</v>
      </c>
      <c r="P7" s="40">
        <f t="shared" si="0"/>
        <v>-1.6117063447002486</v>
      </c>
      <c r="Q7" s="40">
        <f t="shared" si="1"/>
        <v>-9.973985043890618E-2</v>
      </c>
      <c r="R7" s="40" t="b">
        <f t="shared" ref="R7:R15" si="12">(P7^2+Q7^2)&gt;=1</f>
        <v>1</v>
      </c>
      <c r="S7" s="40" t="b">
        <f>(P7^2+Q7^2)&lt;=control!$B$2^2</f>
        <v>1</v>
      </c>
      <c r="T7" s="40">
        <f>ASIN(SQRT(P7^2+Q7^2)/control!$B$2)/PI()*180</f>
        <v>53.842170605847791</v>
      </c>
      <c r="U7" s="40">
        <f t="shared" si="7"/>
        <v>-176.45878789210181</v>
      </c>
      <c r="V7" s="2">
        <f t="shared" si="8"/>
        <v>-3.5412121078981849</v>
      </c>
      <c r="W7" s="1">
        <f t="shared" si="2"/>
        <v>-0.29920634470024865</v>
      </c>
      <c r="X7" s="40">
        <f t="shared" si="3"/>
        <v>1.2127601495610942</v>
      </c>
      <c r="Y7" s="40" t="b">
        <f t="shared" ref="Y7:Y15" si="13">(W7^2+X7^2)&gt;=1</f>
        <v>1</v>
      </c>
      <c r="Z7" s="40" t="b">
        <f>(W7^2+X7^2)&lt;=control!$B$2^2</f>
        <v>1</v>
      </c>
      <c r="AA7" s="40">
        <f>ASIN(SQRT(W7^2+X7^2)/control!$B$2)/PI()*180</f>
        <v>38.650059111191112</v>
      </c>
      <c r="AB7" s="40">
        <f t="shared" si="9"/>
        <v>103.85897192951097</v>
      </c>
      <c r="AC7" s="2">
        <f t="shared" si="10"/>
        <v>-13.858971929510975</v>
      </c>
      <c r="AD7" s="40">
        <f t="shared" si="4"/>
        <v>-0.29920634470024859</v>
      </c>
      <c r="AE7" s="40">
        <f>X7+$AE$4</f>
        <v>-9.9739850438905764E-2</v>
      </c>
      <c r="AF7" s="40" t="b">
        <f t="shared" ref="AF7:AF15" si="14">(AD7^2+AE7^2)&gt;=1</f>
        <v>0</v>
      </c>
      <c r="AG7" s="40" t="b">
        <f>(AD7^2+AE7^2)&lt;=control!$B$2^2</f>
        <v>1</v>
      </c>
      <c r="AH7" s="40">
        <f>ASIN(SQRT(AD7^2+AE7^2)/control!$B$3)/PI()*180</f>
        <v>18.384514627439575</v>
      </c>
      <c r="AI7" s="40">
        <f>ATAN2(AD7,AE7)/PI()*180</f>
        <v>-161.5642924899123</v>
      </c>
      <c r="AJ7" s="2">
        <f>ASIN((AD7*$AE$58-$AD$58*AE7)/(SQRT(AD7^2+AE7^2)*SQRT($AD$58^2+$AE$58^2)))/PI()*180</f>
        <v>-58.047724381120986</v>
      </c>
    </row>
    <row r="8" spans="1:36" x14ac:dyDescent="0.3">
      <c r="A8">
        <v>50</v>
      </c>
      <c r="B8">
        <f>control!$B$3*COS('k2'!A8/180*PI())</f>
        <v>0.64278760968653936</v>
      </c>
      <c r="C8">
        <f>control!$B$3*SIN('k2'!A8/180*PI())</f>
        <v>0.76604444311897801</v>
      </c>
      <c r="D8">
        <v>50</v>
      </c>
      <c r="E8">
        <f>control!$B$2*COS('k2'!D8/180*PI())</f>
        <v>1.2855752193730787</v>
      </c>
      <c r="F8">
        <f>control!$B$2*SIN('k2'!D8/180*PI())</f>
        <v>1.532088886237956</v>
      </c>
      <c r="G8" s="1">
        <v>-0.4</v>
      </c>
      <c r="H8">
        <f>G8*control!$C$9/2+control!$C$8</f>
        <v>-4</v>
      </c>
      <c r="I8" s="1">
        <f>control!$B$3*TAN('k2'!$H$4/180*PI())/SQRT(1+TAN('k2'!$H$4/180*PI())^2+TAN('k2'!H8/180*PI())^2)</f>
        <v>-0.30003931119635729</v>
      </c>
      <c r="J8" s="40">
        <f>control!$B$3*TAN('k2'!H8/180*PI())/SQRT(1+TAN('k2'!$H$4/180*PI())^2+TAN('k2'!H8/180*PI())^2)</f>
        <v>-6.6542572409755835E-2</v>
      </c>
      <c r="K8" s="40" t="b">
        <f t="shared" si="11"/>
        <v>0</v>
      </c>
      <c r="L8" s="40" t="b">
        <f>(I8^2+J8^2)&lt;=control!$B$2^2</f>
        <v>1</v>
      </c>
      <c r="M8" s="40">
        <f>ASIN(SQRT(I8^2+J8^2)/control!$B$3)/PI()*180</f>
        <v>17.898375135585169</v>
      </c>
      <c r="N8" s="40">
        <f t="shared" si="5"/>
        <v>-167.49536624454009</v>
      </c>
      <c r="O8" s="2">
        <f t="shared" si="6"/>
        <v>77.495366244540094</v>
      </c>
      <c r="P8" s="40">
        <f t="shared" si="0"/>
        <v>-1.6125393111963573</v>
      </c>
      <c r="Q8" s="40">
        <f t="shared" si="1"/>
        <v>-6.6542572409756001E-2</v>
      </c>
      <c r="R8" s="40" t="b">
        <f t="shared" si="12"/>
        <v>1</v>
      </c>
      <c r="S8" s="40" t="b">
        <f>(P8^2+Q8^2)&lt;=control!$B$2^2</f>
        <v>1</v>
      </c>
      <c r="T8" s="40">
        <f>ASIN(SQRT(P8^2+Q8^2)/control!$B$2)/PI()*180</f>
        <v>53.799566650814569</v>
      </c>
      <c r="U8" s="40">
        <f t="shared" si="7"/>
        <v>-177.63698991517353</v>
      </c>
      <c r="V8" s="2">
        <f t="shared" si="8"/>
        <v>-2.3630100848264486</v>
      </c>
      <c r="W8" s="1">
        <f t="shared" si="2"/>
        <v>-0.30003931119635729</v>
      </c>
      <c r="X8" s="40">
        <f t="shared" si="3"/>
        <v>1.2459574275902445</v>
      </c>
      <c r="Y8" s="40" t="b">
        <f t="shared" si="13"/>
        <v>1</v>
      </c>
      <c r="Z8" s="40" t="b">
        <f>(W8^2+X8^2)&lt;=control!$B$2^2</f>
        <v>1</v>
      </c>
      <c r="AA8" s="40">
        <f>ASIN(SQRT(W8^2+X8^2)/control!$B$2)/PI()*180</f>
        <v>39.850552203049119</v>
      </c>
      <c r="AB8" s="40">
        <f t="shared" si="9"/>
        <v>103.53962035942531</v>
      </c>
      <c r="AC8" s="2">
        <f t="shared" si="10"/>
        <v>-13.539620359425324</v>
      </c>
      <c r="AD8" s="40">
        <f t="shared" si="4"/>
        <v>-0.30003931119635724</v>
      </c>
      <c r="AE8" s="40">
        <f>X8+$AE$4</f>
        <v>-6.6542572409755474E-2</v>
      </c>
      <c r="AF8" s="40" t="b">
        <f t="shared" si="14"/>
        <v>0</v>
      </c>
      <c r="AG8" s="40" t="b">
        <f>(AD8^2+AE8^2)&lt;=control!$B$2^2</f>
        <v>1</v>
      </c>
      <c r="AH8" s="40">
        <f>ASIN(SQRT(AD8^2+AE8^2)/control!$B$3)/PI()*180</f>
        <v>17.898375135585162</v>
      </c>
      <c r="AI8" s="40">
        <f>ATAN2(AD8,AE8)/PI()*180</f>
        <v>-167.49536624454018</v>
      </c>
      <c r="AJ8" s="2">
        <f>ASIN((AD8*$AE$58-$AD$58*AE8)/(SQRT(AD8^2+AE8^2)*SQRT($AD$58^2+$AE$58^2)))/PI()*180</f>
        <v>-63.978798135748832</v>
      </c>
    </row>
    <row r="9" spans="1:36" x14ac:dyDescent="0.3">
      <c r="A9">
        <v>60</v>
      </c>
      <c r="B9">
        <f>control!$B$3*COS('k2'!A9/180*PI())</f>
        <v>0.50000000000000011</v>
      </c>
      <c r="C9">
        <f>control!$B$3*SIN('k2'!A9/180*PI())</f>
        <v>0.8660254037844386</v>
      </c>
      <c r="D9">
        <v>60</v>
      </c>
      <c r="E9">
        <f>control!$B$2*COS('k2'!D9/180*PI())</f>
        <v>1.0000000000000002</v>
      </c>
      <c r="F9">
        <f>control!$B$2*SIN('k2'!D9/180*PI())</f>
        <v>1.7320508075688772</v>
      </c>
      <c r="G9" s="1">
        <v>-0.2</v>
      </c>
      <c r="H9">
        <f>G9*control!$C$9/2+control!$C$8</f>
        <v>-2</v>
      </c>
      <c r="I9" s="1">
        <f>control!$B$3*TAN('k2'!$H$4/180*PI())/SQRT(1+TAN('k2'!$H$4/180*PI())^2+TAN('k2'!H9/180*PI())^2)</f>
        <v>-0.30053916792201169</v>
      </c>
      <c r="J9" s="40">
        <f>control!$B$3*TAN('k2'!H9/180*PI())/SQRT(1+TAN('k2'!$H$4/180*PI())^2+TAN('k2'!H9/180*PI())^2)</f>
        <v>-3.3286074594705777E-2</v>
      </c>
      <c r="K9" s="40" t="b">
        <f t="shared" si="11"/>
        <v>0</v>
      </c>
      <c r="L9" s="40" t="b">
        <f>(I9^2+J9^2)&lt;=control!$B$2^2</f>
        <v>1</v>
      </c>
      <c r="M9" s="40">
        <f>ASIN(SQRT(I9^2+J9^2)/control!$B$3)/PI()*180</f>
        <v>17.600417800510527</v>
      </c>
      <c r="N9" s="40">
        <f t="shared" si="5"/>
        <v>-173.67999042485218</v>
      </c>
      <c r="O9" s="2">
        <f t="shared" si="6"/>
        <v>83.679990424852178</v>
      </c>
      <c r="P9" s="40">
        <f t="shared" si="0"/>
        <v>-1.6130391679220117</v>
      </c>
      <c r="Q9" s="40">
        <f t="shared" si="1"/>
        <v>-3.3286074594705936E-2</v>
      </c>
      <c r="R9" s="40" t="b">
        <f t="shared" si="12"/>
        <v>1</v>
      </c>
      <c r="S9" s="40" t="b">
        <f>(P9^2+Q9^2)&lt;=control!$B$2^2</f>
        <v>1</v>
      </c>
      <c r="T9" s="40">
        <f>ASIN(SQRT(P9^2+Q9^2)/control!$B$2)/PI()*180</f>
        <v>53.77390932317514</v>
      </c>
      <c r="U9" s="40">
        <f t="shared" si="7"/>
        <v>-178.81783344693858</v>
      </c>
      <c r="V9" s="2">
        <f t="shared" si="8"/>
        <v>-1.1821665530614287</v>
      </c>
      <c r="W9" s="1">
        <f t="shared" si="2"/>
        <v>-0.30053916792201174</v>
      </c>
      <c r="X9" s="40">
        <f t="shared" si="3"/>
        <v>1.2792139254052945</v>
      </c>
      <c r="Y9" s="40" t="b">
        <f t="shared" si="13"/>
        <v>1</v>
      </c>
      <c r="Z9" s="40" t="b">
        <f>(W9^2+X9^2)&lt;=control!$B$2^2</f>
        <v>1</v>
      </c>
      <c r="AA9" s="40">
        <f>ASIN(SQRT(W9^2+X9^2)/control!$B$2)/PI()*180</f>
        <v>41.073153244473851</v>
      </c>
      <c r="AB9" s="40">
        <f t="shared" si="9"/>
        <v>103.22132083352201</v>
      </c>
      <c r="AC9" s="2">
        <f t="shared" si="10"/>
        <v>-13.221320833522013</v>
      </c>
      <c r="AD9" s="40">
        <f t="shared" si="4"/>
        <v>-0.30053916792201169</v>
      </c>
      <c r="AE9" s="40">
        <f>X9+$AE$4</f>
        <v>-3.328607459470545E-2</v>
      </c>
      <c r="AF9" s="40" t="b">
        <f t="shared" si="14"/>
        <v>0</v>
      </c>
      <c r="AG9" s="40" t="b">
        <f>(AD9^2+AE9^2)&lt;=control!$B$2^2</f>
        <v>1</v>
      </c>
      <c r="AH9" s="40">
        <f>ASIN(SQRT(AD9^2+AE9^2)/control!$B$3)/PI()*180</f>
        <v>17.600417800510524</v>
      </c>
      <c r="AI9" s="40">
        <f>ATAN2(AD9,AE9)/PI()*180</f>
        <v>-173.67999042485224</v>
      </c>
      <c r="AJ9" s="2">
        <f>ASIN((AD9*$AE$58-$AD$58*AE9)/(SQRT(AD9^2+AE9^2)*SQRT($AD$58^2+$AE$58^2)))/PI()*180</f>
        <v>-70.163422316060945</v>
      </c>
    </row>
    <row r="10" spans="1:36" x14ac:dyDescent="0.3">
      <c r="A10">
        <v>70</v>
      </c>
      <c r="B10">
        <f>control!$B$3*COS('k2'!A10/180*PI())</f>
        <v>0.34202014332566882</v>
      </c>
      <c r="C10">
        <f>control!$B$3*SIN('k2'!A10/180*PI())</f>
        <v>0.93969262078590832</v>
      </c>
      <c r="D10">
        <v>70</v>
      </c>
      <c r="E10">
        <f>control!$B$2*COS('k2'!D10/180*PI())</f>
        <v>0.68404028665133765</v>
      </c>
      <c r="F10">
        <f>control!$B$2*SIN('k2'!D10/180*PI())</f>
        <v>1.8793852415718166</v>
      </c>
      <c r="G10" s="1">
        <v>0</v>
      </c>
      <c r="H10">
        <f>G10*control!$C$9/2+control!$C$8</f>
        <v>0</v>
      </c>
      <c r="I10" s="1">
        <f>control!$B$3*TAN('k2'!$H$4/180*PI())/SQRT(1+TAN('k2'!$H$4/180*PI())^2+TAN('k2'!H10/180*PI())^2)</f>
        <v>-0.30070579950427312</v>
      </c>
      <c r="J10" s="40">
        <f>control!$B$3*TAN('k2'!H10/180*PI())/SQRT(1+TAN('k2'!$H$4/180*PI())^2+TAN('k2'!H10/180*PI())^2)</f>
        <v>0</v>
      </c>
      <c r="K10" s="40" t="b">
        <f t="shared" si="11"/>
        <v>0</v>
      </c>
      <c r="L10" s="40" t="b">
        <f>(I10^2+J10^2)&lt;=control!$B$2^2</f>
        <v>1</v>
      </c>
      <c r="M10" s="40">
        <f>ASIN(SQRT(I10^2+J10^2)/control!$B$3)/PI()*180</f>
        <v>17.5</v>
      </c>
      <c r="N10" s="40">
        <f t="shared" si="5"/>
        <v>180</v>
      </c>
      <c r="O10" s="2">
        <f t="shared" si="6"/>
        <v>90</v>
      </c>
      <c r="P10" s="40">
        <f t="shared" si="0"/>
        <v>-1.6132057995042732</v>
      </c>
      <c r="Q10" s="40">
        <f t="shared" si="1"/>
        <v>-1.6080073470675638E-16</v>
      </c>
      <c r="R10" s="40" t="b">
        <f t="shared" si="12"/>
        <v>1</v>
      </c>
      <c r="S10" s="40" t="b">
        <f>(P10^2+Q10^2)&lt;=control!$B$2^2</f>
        <v>1</v>
      </c>
      <c r="T10" s="40">
        <f>ASIN(SQRT(P10^2+Q10^2)/control!$B$2)/PI()*180</f>
        <v>53.765341064697544</v>
      </c>
      <c r="U10" s="40">
        <f t="shared" si="7"/>
        <v>-180</v>
      </c>
      <c r="V10" s="2">
        <f t="shared" si="8"/>
        <v>1.4485754389610173E-15</v>
      </c>
      <c r="W10" s="1">
        <f t="shared" si="2"/>
        <v>-0.30070579950427323</v>
      </c>
      <c r="X10" s="40">
        <f t="shared" si="3"/>
        <v>1.3125000000000002</v>
      </c>
      <c r="Y10" s="40" t="b">
        <f t="shared" si="13"/>
        <v>1</v>
      </c>
      <c r="Z10" s="40" t="b">
        <f>(W10^2+X10^2)&lt;=control!$B$2^2</f>
        <v>1</v>
      </c>
      <c r="AA10" s="40">
        <f>ASIN(SQRT(W10^2+X10^2)/control!$B$2)/PI()*180</f>
        <v>42.318658308003293</v>
      </c>
      <c r="AB10" s="40">
        <f t="shared" si="9"/>
        <v>102.90427926761308</v>
      </c>
      <c r="AC10" s="2">
        <f t="shared" si="10"/>
        <v>-12.904279267613081</v>
      </c>
      <c r="AD10" s="40">
        <f t="shared" si="4"/>
        <v>-0.30070579950427317</v>
      </c>
      <c r="AE10" s="40">
        <f>X10+$AE$4</f>
        <v>0</v>
      </c>
      <c r="AF10" s="40" t="b">
        <f t="shared" si="14"/>
        <v>0</v>
      </c>
      <c r="AG10" s="40" t="b">
        <f>(AD10^2+AE10^2)&lt;=control!$B$2^2</f>
        <v>1</v>
      </c>
      <c r="AH10" s="40">
        <f>ASIN(SQRT(AD10^2+AE10^2)/control!$B$3)/PI()*180</f>
        <v>17.500000000000004</v>
      </c>
      <c r="AI10" s="40">
        <f>ATAN2(AD10,AE10)/PI()*180</f>
        <v>180</v>
      </c>
      <c r="AJ10" s="2">
        <f>ASIN((AD10*$AE$58-$AD$58*AE10)/(SQRT(AD10^2+AE10^2)*SQRT($AD$58^2+$AE$58^2)))/PI()*180</f>
        <v>-76.483431891208625</v>
      </c>
    </row>
    <row r="11" spans="1:36" x14ac:dyDescent="0.3">
      <c r="A11">
        <v>80</v>
      </c>
      <c r="B11">
        <f>control!$B$3*COS('k2'!A11/180*PI())</f>
        <v>0.17364817766693041</v>
      </c>
      <c r="C11">
        <f>control!$B$3*SIN('k2'!A11/180*PI())</f>
        <v>0.98480775301220802</v>
      </c>
      <c r="D11">
        <v>80</v>
      </c>
      <c r="E11">
        <f>control!$B$2*COS('k2'!D11/180*PI())</f>
        <v>0.34729635533386083</v>
      </c>
      <c r="F11">
        <f>control!$B$2*SIN('k2'!D11/180*PI())</f>
        <v>1.969615506024416</v>
      </c>
      <c r="G11" s="1">
        <v>0.2</v>
      </c>
      <c r="H11">
        <f>G11*control!$C$9/2+control!$C$8</f>
        <v>2</v>
      </c>
      <c r="I11" s="1">
        <f>control!$B$3*TAN('k2'!$H$4/180*PI())/SQRT(1+TAN('k2'!$H$4/180*PI())^2+TAN('k2'!H11/180*PI())^2)</f>
        <v>-0.30053916792201169</v>
      </c>
      <c r="J11" s="40">
        <f>control!$B$3*TAN('k2'!H11/180*PI())/SQRT(1+TAN('k2'!$H$4/180*PI())^2+TAN('k2'!H11/180*PI())^2)</f>
        <v>3.3286074594705777E-2</v>
      </c>
      <c r="K11" s="40" t="b">
        <f t="shared" si="11"/>
        <v>0</v>
      </c>
      <c r="L11" s="40" t="b">
        <f>(I11^2+J11^2)&lt;=control!$B$2^2</f>
        <v>1</v>
      </c>
      <c r="M11" s="40">
        <f>ASIN(SQRT(I11^2+J11^2)/control!$B$3)/PI()*180</f>
        <v>17.600417800510527</v>
      </c>
      <c r="N11" s="40">
        <f t="shared" si="5"/>
        <v>173.67999042485218</v>
      </c>
      <c r="O11" s="2">
        <f t="shared" si="6"/>
        <v>83.679990424852178</v>
      </c>
      <c r="P11" s="40">
        <f t="shared" si="0"/>
        <v>-1.6130391679220117</v>
      </c>
      <c r="Q11" s="40">
        <f t="shared" si="1"/>
        <v>3.3286074594705617E-2</v>
      </c>
      <c r="R11" s="40" t="b">
        <f t="shared" si="12"/>
        <v>1</v>
      </c>
      <c r="S11" s="40" t="b">
        <f>(P11^2+Q11^2)&lt;=control!$B$2^2</f>
        <v>1</v>
      </c>
      <c r="T11" s="40">
        <f>ASIN(SQRT(P11^2+Q11^2)/control!$B$2)/PI()*180</f>
        <v>53.77390932317514</v>
      </c>
      <c r="U11" s="40">
        <f t="shared" si="7"/>
        <v>178.81783344693858</v>
      </c>
      <c r="V11" s="2">
        <f t="shared" si="8"/>
        <v>1.1821665530614316</v>
      </c>
      <c r="W11" s="1">
        <f t="shared" si="2"/>
        <v>-0.30053916792201174</v>
      </c>
      <c r="X11" s="40">
        <f t="shared" si="3"/>
        <v>1.3457860745947061</v>
      </c>
      <c r="Y11" s="40" t="b">
        <f t="shared" si="13"/>
        <v>1</v>
      </c>
      <c r="Z11" s="40" t="b">
        <f>(W11^2+X11^2)&lt;=control!$B$2^2</f>
        <v>1</v>
      </c>
      <c r="AA11" s="40">
        <f>ASIN(SQRT(W11^2+X11^2)/control!$B$2)/PI()*180</f>
        <v>43.588003426105189</v>
      </c>
      <c r="AB11" s="40">
        <f t="shared" si="9"/>
        <v>102.58865977118754</v>
      </c>
      <c r="AC11" s="2">
        <f t="shared" si="10"/>
        <v>-12.588659771187539</v>
      </c>
      <c r="AD11" s="40">
        <f t="shared" si="4"/>
        <v>-0.30053916792201169</v>
      </c>
      <c r="AE11" s="40">
        <f>X11+$AE$4</f>
        <v>3.3286074594706117E-2</v>
      </c>
      <c r="AF11" s="40" t="b">
        <f t="shared" si="14"/>
        <v>0</v>
      </c>
      <c r="AG11" s="40" t="b">
        <f>(AD11^2+AE11^2)&lt;=control!$B$2^2</f>
        <v>1</v>
      </c>
      <c r="AH11" s="40">
        <f>ASIN(SQRT(AD11^2+AE11^2)/control!$B$3)/PI()*180</f>
        <v>17.600417800510527</v>
      </c>
      <c r="AI11" s="40">
        <f>ATAN2(AD11,AE11)/PI()*180</f>
        <v>173.67999042485212</v>
      </c>
      <c r="AJ11" s="2">
        <f>ASIN((AD11*$AE$58-$AD$58*AE11)/(SQRT(AD11^2+AE11^2)*SQRT($AD$58^2+$AE$58^2)))/PI()*180</f>
        <v>-82.803441466356489</v>
      </c>
    </row>
    <row r="12" spans="1:36" x14ac:dyDescent="0.3">
      <c r="A12">
        <v>90</v>
      </c>
      <c r="B12">
        <f>control!$B$3*COS('k2'!A12/180*PI())</f>
        <v>6.1257422745431001E-17</v>
      </c>
      <c r="C12">
        <f>control!$B$3*SIN('k2'!A12/180*PI())</f>
        <v>1</v>
      </c>
      <c r="D12">
        <v>90</v>
      </c>
      <c r="E12">
        <f>control!$B$2*COS('k2'!D12/180*PI())</f>
        <v>1.22514845490862E-16</v>
      </c>
      <c r="F12">
        <f>control!$B$2*SIN('k2'!D12/180*PI())</f>
        <v>2</v>
      </c>
      <c r="G12" s="1">
        <v>0.4</v>
      </c>
      <c r="H12">
        <f>G12*control!$C$9/2+control!$C$8</f>
        <v>4</v>
      </c>
      <c r="I12" s="1">
        <f>control!$B$3*TAN('k2'!$H$4/180*PI())/SQRT(1+TAN('k2'!$H$4/180*PI())^2+TAN('k2'!H12/180*PI())^2)</f>
        <v>-0.30003931119635729</v>
      </c>
      <c r="J12" s="40">
        <f>control!$B$3*TAN('k2'!H12/180*PI())/SQRT(1+TAN('k2'!$H$4/180*PI())^2+TAN('k2'!H12/180*PI())^2)</f>
        <v>6.6542572409755835E-2</v>
      </c>
      <c r="K12" s="40" t="b">
        <f t="shared" si="11"/>
        <v>0</v>
      </c>
      <c r="L12" s="40" t="b">
        <f>(I12^2+J12^2)&lt;=control!$B$2^2</f>
        <v>1</v>
      </c>
      <c r="M12" s="40">
        <f>ASIN(SQRT(I12^2+J12^2)/control!$B$3)/PI()*180</f>
        <v>17.898375135585169</v>
      </c>
      <c r="N12" s="40">
        <f t="shared" si="5"/>
        <v>167.49536624454009</v>
      </c>
      <c r="O12" s="2">
        <f t="shared" si="6"/>
        <v>77.495366244540094</v>
      </c>
      <c r="P12" s="40">
        <f t="shared" si="0"/>
        <v>-1.6125393111963573</v>
      </c>
      <c r="Q12" s="40">
        <f t="shared" si="1"/>
        <v>6.6542572409755668E-2</v>
      </c>
      <c r="R12" s="40" t="b">
        <f t="shared" si="12"/>
        <v>1</v>
      </c>
      <c r="S12" s="40" t="b">
        <f>(P12^2+Q12^2)&lt;=control!$B$2^2</f>
        <v>1</v>
      </c>
      <c r="T12" s="40">
        <f>ASIN(SQRT(P12^2+Q12^2)/control!$B$2)/PI()*180</f>
        <v>53.799566650814569</v>
      </c>
      <c r="U12" s="40">
        <f t="shared" si="7"/>
        <v>177.63698991517359</v>
      </c>
      <c r="V12" s="2">
        <f t="shared" si="8"/>
        <v>2.3630100848264513</v>
      </c>
      <c r="W12" s="1">
        <f t="shared" si="2"/>
        <v>-0.30003931119635729</v>
      </c>
      <c r="X12" s="40">
        <f t="shared" si="3"/>
        <v>1.3790425724097561</v>
      </c>
      <c r="Y12" s="40" t="b">
        <f t="shared" si="13"/>
        <v>1</v>
      </c>
      <c r="Z12" s="40" t="b">
        <f>(W12^2+X12^2)&lt;=control!$B$2^2</f>
        <v>1</v>
      </c>
      <c r="AA12" s="40">
        <f>ASIN(SQRT(W12^2+X12^2)/control!$B$2)/PI()*180</f>
        <v>44.882285558235907</v>
      </c>
      <c r="AB12" s="40">
        <f t="shared" si="9"/>
        <v>102.27459025754743</v>
      </c>
      <c r="AC12" s="2">
        <f t="shared" si="10"/>
        <v>-12.274590257547437</v>
      </c>
      <c r="AD12" s="40">
        <f t="shared" si="4"/>
        <v>-0.30003931119635724</v>
      </c>
      <c r="AE12" s="40">
        <f>X12+$AE$4</f>
        <v>6.654257240975614E-2</v>
      </c>
      <c r="AF12" s="40" t="b">
        <f t="shared" si="14"/>
        <v>0</v>
      </c>
      <c r="AG12" s="40" t="b">
        <f>(AD12^2+AE12^2)&lt;=control!$B$2^2</f>
        <v>1</v>
      </c>
      <c r="AH12" s="40">
        <f>ASIN(SQRT(AD12^2+AE12^2)/control!$B$3)/PI()*180</f>
        <v>17.898375135585169</v>
      </c>
      <c r="AI12" s="40">
        <f>ATAN2(AD12,AE12)/PI()*180</f>
        <v>167.49536624454007</v>
      </c>
      <c r="AJ12" s="2">
        <f>ASIN((AD12*$AE$58-$AD$58*AE12)/(SQRT(AD12^2+AE12^2)*SQRT($AD$58^2+$AE$58^2)))/PI()*180</f>
        <v>-88.988065646668005</v>
      </c>
    </row>
    <row r="13" spans="1:36" x14ac:dyDescent="0.3">
      <c r="A13">
        <v>100</v>
      </c>
      <c r="B13">
        <f>control!$B$3*COS('k2'!A13/180*PI())</f>
        <v>-0.1736481776669303</v>
      </c>
      <c r="C13">
        <f>control!$B$3*SIN('k2'!A13/180*PI())</f>
        <v>0.98480775301220802</v>
      </c>
      <c r="D13">
        <v>100</v>
      </c>
      <c r="E13">
        <f>control!$B$2*COS('k2'!D13/180*PI())</f>
        <v>-0.34729635533386061</v>
      </c>
      <c r="F13">
        <f>control!$B$2*SIN('k2'!D13/180*PI())</f>
        <v>1.969615506024416</v>
      </c>
      <c r="G13" s="1">
        <v>0.6</v>
      </c>
      <c r="H13">
        <f>G13*control!$C$9/2+control!$C$8</f>
        <v>6</v>
      </c>
      <c r="I13" s="1">
        <f>control!$B$3*TAN('k2'!$H$4/180*PI())/SQRT(1+TAN('k2'!$H$4/180*PI())^2+TAN('k2'!H13/180*PI())^2)</f>
        <v>-0.29920634470024859</v>
      </c>
      <c r="J13" s="40">
        <f>control!$B$3*TAN('k2'!H13/180*PI())/SQRT(1+TAN('k2'!$H$4/180*PI())^2+TAN('k2'!H13/180*PI())^2)</f>
        <v>9.9739850438906014E-2</v>
      </c>
      <c r="K13" s="40" t="b">
        <f t="shared" si="11"/>
        <v>0</v>
      </c>
      <c r="L13" s="40" t="b">
        <f>(I13^2+J13^2)&lt;=control!$B$2^2</f>
        <v>1</v>
      </c>
      <c r="M13" s="40">
        <f>ASIN(SQRT(I13^2+J13^2)/control!$B$3)/PI()*180</f>
        <v>18.384514627439579</v>
      </c>
      <c r="N13" s="40">
        <f t="shared" si="5"/>
        <v>161.5642924899123</v>
      </c>
      <c r="O13" s="2">
        <f t="shared" si="6"/>
        <v>71.564292489912305</v>
      </c>
      <c r="P13" s="40">
        <f t="shared" si="0"/>
        <v>-1.6117063447002486</v>
      </c>
      <c r="Q13" s="40">
        <f t="shared" si="1"/>
        <v>9.9739850438905847E-2</v>
      </c>
      <c r="R13" s="40" t="b">
        <f t="shared" si="12"/>
        <v>1</v>
      </c>
      <c r="S13" s="40" t="b">
        <f>(P13^2+Q13^2)&lt;=control!$B$2^2</f>
        <v>1</v>
      </c>
      <c r="T13" s="40">
        <f>ASIN(SQRT(P13^2+Q13^2)/control!$B$2)/PI()*180</f>
        <v>53.842170605847791</v>
      </c>
      <c r="U13" s="40">
        <f t="shared" si="7"/>
        <v>176.45878789210181</v>
      </c>
      <c r="V13" s="2">
        <f t="shared" si="8"/>
        <v>3.5412121078981893</v>
      </c>
      <c r="W13" s="1">
        <f t="shared" si="2"/>
        <v>-0.29920634470024865</v>
      </c>
      <c r="X13" s="40">
        <f t="shared" si="3"/>
        <v>1.4122398504389062</v>
      </c>
      <c r="Y13" s="40" t="b">
        <f t="shared" si="13"/>
        <v>1</v>
      </c>
      <c r="Z13" s="40" t="b">
        <f>(W13^2+X13^2)&lt;=control!$B$2^2</f>
        <v>1</v>
      </c>
      <c r="AA13" s="40">
        <f>ASIN(SQRT(W13^2+X13^2)/control!$B$2)/PI()*180</f>
        <v>46.202788808991606</v>
      </c>
      <c r="AB13" s="40">
        <f t="shared" si="9"/>
        <v>101.96216735963422</v>
      </c>
      <c r="AC13" s="2">
        <f t="shared" si="10"/>
        <v>-11.962167359634229</v>
      </c>
      <c r="AD13" s="40">
        <f t="shared" si="4"/>
        <v>-0.29920634470024859</v>
      </c>
      <c r="AE13" s="40">
        <f>X13+$AE$4</f>
        <v>9.9739850438906208E-2</v>
      </c>
      <c r="AF13" s="40" t="b">
        <f t="shared" si="14"/>
        <v>0</v>
      </c>
      <c r="AG13" s="40" t="b">
        <f>(AD13^2+AE13^2)&lt;=control!$B$2^2</f>
        <v>1</v>
      </c>
      <c r="AH13" s="40">
        <f>ASIN(SQRT(AD13^2+AE13^2)/control!$B$3)/PI()*180</f>
        <v>18.384514627439582</v>
      </c>
      <c r="AI13" s="40">
        <f>ATAN2(AD13,AE13)/PI()*180</f>
        <v>161.56429248991225</v>
      </c>
      <c r="AJ13" s="2">
        <f>ASIN((AD13*$AE$58-$AD$58*AE13)/(SQRT(AD13^2+AE13^2)*SQRT($AD$58^2+$AE$58^2)))/PI()*180</f>
        <v>-85.080860598703538</v>
      </c>
    </row>
    <row r="14" spans="1:36" x14ac:dyDescent="0.3">
      <c r="A14">
        <v>110</v>
      </c>
      <c r="B14">
        <f>control!$B$3*COS('k2'!A14/180*PI())</f>
        <v>-0.34202014332566871</v>
      </c>
      <c r="C14">
        <f>control!$B$3*SIN('k2'!A14/180*PI())</f>
        <v>0.93969262078590843</v>
      </c>
      <c r="D14">
        <v>110</v>
      </c>
      <c r="E14">
        <f>control!$B$2*COS('k2'!D14/180*PI())</f>
        <v>-0.68404028665133743</v>
      </c>
      <c r="F14">
        <f>control!$B$2*SIN('k2'!D14/180*PI())</f>
        <v>1.8793852415718169</v>
      </c>
      <c r="G14" s="1">
        <v>0.8</v>
      </c>
      <c r="H14">
        <f>G14*control!$C$9/2+control!$C$8</f>
        <v>8</v>
      </c>
      <c r="I14" s="1">
        <f>control!$B$3*TAN('k2'!$H$4/180*PI())/SQRT(1+TAN('k2'!$H$4/180*PI())^2+TAN('k2'!H14/180*PI())^2)</f>
        <v>-0.29804046508194998</v>
      </c>
      <c r="J14" s="40">
        <f>control!$B$3*TAN('k2'!H14/180*PI())/SQRT(1+TAN('k2'!$H$4/180*PI())^2+TAN('k2'!H14/180*PI())^2)</f>
        <v>0.13284813394504671</v>
      </c>
      <c r="K14" s="40" t="b">
        <f t="shared" si="11"/>
        <v>0</v>
      </c>
      <c r="L14" s="40" t="b">
        <f>(I14^2+J14^2)&lt;=control!$B$2^2</f>
        <v>1</v>
      </c>
      <c r="M14" s="40">
        <f>ASIN(SQRT(I14^2+J14^2)/control!$B$3)/PI()*180</f>
        <v>19.044823258221381</v>
      </c>
      <c r="N14" s="40">
        <f t="shared" si="5"/>
        <v>155.97562290886725</v>
      </c>
      <c r="O14" s="2">
        <f t="shared" si="6"/>
        <v>65.975622908867265</v>
      </c>
      <c r="P14" s="40">
        <f t="shared" si="0"/>
        <v>-1.6105404650819499</v>
      </c>
      <c r="Q14" s="40">
        <f t="shared" si="1"/>
        <v>0.13284813394504655</v>
      </c>
      <c r="R14" s="40" t="b">
        <f t="shared" si="12"/>
        <v>1</v>
      </c>
      <c r="S14" s="40" t="b">
        <f>(P14^2+Q14^2)&lt;=control!$B$2^2</f>
        <v>1</v>
      </c>
      <c r="T14" s="40">
        <f>ASIN(SQRT(P14^2+Q14^2)/control!$B$2)/PI()*180</f>
        <v>53.901483458930649</v>
      </c>
      <c r="U14" s="40">
        <f t="shared" si="7"/>
        <v>175.28453685855638</v>
      </c>
      <c r="V14" s="2">
        <f t="shared" si="8"/>
        <v>4.7154631414436441</v>
      </c>
      <c r="W14" s="1">
        <f t="shared" si="2"/>
        <v>-0.29804046508194992</v>
      </c>
      <c r="X14" s="40">
        <f t="shared" si="3"/>
        <v>1.4453481339450469</v>
      </c>
      <c r="Y14" s="40" t="b">
        <f t="shared" si="13"/>
        <v>1</v>
      </c>
      <c r="Z14" s="40" t="b">
        <f>(W14^2+X14^2)&lt;=control!$B$2^2</f>
        <v>1</v>
      </c>
      <c r="AA14" s="40">
        <f>ASIN(SQRT(W14^2+X14^2)/control!$B$2)/PI()*180</f>
        <v>47.551017497496765</v>
      </c>
      <c r="AB14" s="40">
        <f t="shared" si="9"/>
        <v>101.65146073650969</v>
      </c>
      <c r="AC14" s="2">
        <f t="shared" si="10"/>
        <v>-11.651460736509691</v>
      </c>
      <c r="AD14" s="40">
        <f t="shared" si="4"/>
        <v>-0.29804046508194987</v>
      </c>
      <c r="AE14" s="40">
        <f>X14+$AE$4</f>
        <v>0.13284813394504691</v>
      </c>
      <c r="AF14" s="40" t="b">
        <f t="shared" si="14"/>
        <v>0</v>
      </c>
      <c r="AG14" s="40" t="b">
        <f>(AD14^2+AE14^2)&lt;=control!$B$2^2</f>
        <v>1</v>
      </c>
      <c r="AH14" s="40">
        <f>ASIN(SQRT(AD14^2+AE14^2)/control!$B$3)/PI()*180</f>
        <v>19.044823258221381</v>
      </c>
      <c r="AI14" s="40">
        <f>ATAN2(AD14,AE14)/PI()*180</f>
        <v>155.97562290886722</v>
      </c>
      <c r="AJ14" s="2">
        <f>ASIN((AD14*$AE$58-$AD$58*AE14)/(SQRT(AD14^2+AE14^2)*SQRT($AD$58^2+$AE$58^2)))/PI()*180</f>
        <v>-79.492191017658513</v>
      </c>
    </row>
    <row r="15" spans="1:36" x14ac:dyDescent="0.3">
      <c r="A15">
        <v>120</v>
      </c>
      <c r="B15">
        <f>control!$B$3*COS('k2'!A15/180*PI())</f>
        <v>-0.49999999999999978</v>
      </c>
      <c r="C15">
        <f>control!$B$3*SIN('k2'!A15/180*PI())</f>
        <v>0.86602540378443871</v>
      </c>
      <c r="D15">
        <v>120</v>
      </c>
      <c r="E15">
        <f>control!$B$2*COS('k2'!D15/180*PI())</f>
        <v>-0.99999999999999956</v>
      </c>
      <c r="F15">
        <f>control!$B$2*SIN('k2'!D15/180*PI())</f>
        <v>1.7320508075688774</v>
      </c>
      <c r="G15" s="1">
        <v>1</v>
      </c>
      <c r="H15">
        <f>G15*control!$C$9/2+control!$C$8</f>
        <v>10</v>
      </c>
      <c r="I15" s="7">
        <f>control!$B$3*TAN('k2'!$H$4/180*PI())/SQRT(1+TAN('k2'!$H$4/180*PI())^2+TAN('k2'!H15/180*PI())^2)</f>
        <v>-0.29654195678697232</v>
      </c>
      <c r="J15" s="6">
        <f>control!$B$3*TAN('k2'!H15/180*PI())/SQRT(1+TAN('k2'!$H$4/180*PI())^2+TAN('k2'!H15/180*PI())^2)</f>
        <v>0.16583745240358658</v>
      </c>
      <c r="K15" s="6" t="b">
        <f t="shared" si="11"/>
        <v>0</v>
      </c>
      <c r="L15" s="6" t="b">
        <f>(I15^2+J15^2)&lt;=control!$B$2^2</f>
        <v>1</v>
      </c>
      <c r="M15" s="6">
        <f>ASIN(SQRT(I15^2+J15^2)/control!$B$3)/PI()*180</f>
        <v>19.862462001023477</v>
      </c>
      <c r="N15" s="6">
        <f t="shared" si="5"/>
        <v>150.78443244019712</v>
      </c>
      <c r="O15" s="8">
        <f t="shared" si="6"/>
        <v>60.784432440197115</v>
      </c>
      <c r="P15" s="40">
        <f t="shared" si="0"/>
        <v>-1.6090419567869723</v>
      </c>
      <c r="Q15" s="6">
        <f t="shared" si="1"/>
        <v>0.16583745240358641</v>
      </c>
      <c r="R15" s="6" t="b">
        <f t="shared" si="12"/>
        <v>1</v>
      </c>
      <c r="S15" s="6" t="b">
        <f>(P15^2+Q15^2)&lt;=control!$B$2^2</f>
        <v>1</v>
      </c>
      <c r="T15" s="6">
        <f>ASIN(SQRT(P15^2+Q15^2)/control!$B$2)/PI()*180</f>
        <v>53.977171709163812</v>
      </c>
      <c r="U15" s="6">
        <f t="shared" si="7"/>
        <v>174.11553293718083</v>
      </c>
      <c r="V15" s="8">
        <f t="shared" si="8"/>
        <v>5.8844670628191915</v>
      </c>
      <c r="W15" s="7">
        <f t="shared" si="2"/>
        <v>-0.29654195678697226</v>
      </c>
      <c r="X15" s="6">
        <f t="shared" si="3"/>
        <v>1.4783374524035868</v>
      </c>
      <c r="Y15" s="6" t="b">
        <f t="shared" si="13"/>
        <v>1</v>
      </c>
      <c r="Z15" s="6" t="b">
        <f>(W15^2+X15^2)&lt;=control!$B$2^2</f>
        <v>1</v>
      </c>
      <c r="AA15" s="6">
        <f>ASIN(SQRT(W15^2+X15^2)/control!$B$2)/PI()*180</f>
        <v>48.928738274606559</v>
      </c>
      <c r="AB15" s="6">
        <f t="shared" si="9"/>
        <v>101.34251684543223</v>
      </c>
      <c r="AC15" s="8">
        <f t="shared" si="10"/>
        <v>-11.342516845432232</v>
      </c>
      <c r="AD15" s="6">
        <f t="shared" si="4"/>
        <v>-0.29654195678697221</v>
      </c>
      <c r="AE15" s="6">
        <f>X15+$AE$4</f>
        <v>0.16583745240358683</v>
      </c>
      <c r="AF15" s="6" t="b">
        <f t="shared" si="14"/>
        <v>0</v>
      </c>
      <c r="AG15" s="6" t="b">
        <f>(AD15^2+AE15^2)&lt;=control!$B$2^2</f>
        <v>1</v>
      </c>
      <c r="AH15" s="6">
        <f>ASIN(SQRT(AD15^2+AE15^2)/control!$B$3)/PI()*180</f>
        <v>19.862462001023477</v>
      </c>
      <c r="AI15" s="6">
        <f>ATAN2(AD15,AE15)/PI()*180</f>
        <v>150.78443244019707</v>
      </c>
      <c r="AJ15" s="8">
        <f>ASIN((AD15*$AE$58-$AD$58*AE15)/(SQRT(AD15^2+AE15^2)*SQRT($AD$58^2+$AE$58^2)))/PI()*180</f>
        <v>-74.30100054898837</v>
      </c>
    </row>
    <row r="16" spans="1:36" x14ac:dyDescent="0.3">
      <c r="A16">
        <v>130</v>
      </c>
      <c r="B16">
        <f>control!$B$3*COS('k2'!A16/180*PI())</f>
        <v>-0.64278760968653936</v>
      </c>
      <c r="C16">
        <f>control!$B$3*SIN('k2'!A16/180*PI())</f>
        <v>0.76604444311897801</v>
      </c>
      <c r="D16">
        <v>130</v>
      </c>
      <c r="E16">
        <f>control!$B$2*COS('k2'!D16/180*PI())</f>
        <v>-1.2855752193730787</v>
      </c>
      <c r="F16">
        <f>control!$B$2*SIN('k2'!D16/180*PI())</f>
        <v>1.532088886237956</v>
      </c>
      <c r="P16" s="3"/>
    </row>
    <row r="17" spans="1:36" x14ac:dyDescent="0.3">
      <c r="A17">
        <v>140</v>
      </c>
      <c r="B17">
        <f>control!$B$3*COS('k2'!A17/180*PI())</f>
        <v>-0.7660444431189779</v>
      </c>
      <c r="C17">
        <f>control!$B$3*SIN('k2'!A17/180*PI())</f>
        <v>0.64278760968653947</v>
      </c>
      <c r="D17">
        <v>140</v>
      </c>
      <c r="E17">
        <f>control!$B$2*COS('k2'!D17/180*PI())</f>
        <v>-1.5320888862379558</v>
      </c>
      <c r="F17">
        <f>control!$B$2*SIN('k2'!D17/180*PI())</f>
        <v>1.2855752193730789</v>
      </c>
      <c r="G17" s="1" t="s">
        <v>16</v>
      </c>
      <c r="H17">
        <v>1</v>
      </c>
    </row>
    <row r="18" spans="1:36" x14ac:dyDescent="0.3">
      <c r="A18">
        <v>150</v>
      </c>
      <c r="B18">
        <f>control!$B$3*COS('k2'!A18/180*PI())</f>
        <v>-0.86602540378443871</v>
      </c>
      <c r="C18">
        <f>control!$B$3*SIN('k2'!A18/180*PI())</f>
        <v>0.49999999999999994</v>
      </c>
      <c r="D18">
        <v>150</v>
      </c>
      <c r="E18">
        <f>control!$B$2*COS('k2'!D18/180*PI())</f>
        <v>-1.7320508075688774</v>
      </c>
      <c r="F18">
        <f>control!$B$2*SIN('k2'!D18/180*PI())</f>
        <v>0.99999999999999989</v>
      </c>
      <c r="H18">
        <f>H17*control!$C$9/2+control!$C$8</f>
        <v>10</v>
      </c>
      <c r="I18" s="7"/>
      <c r="J18" s="6"/>
      <c r="M18" s="6"/>
      <c r="N18" s="6"/>
      <c r="P18" s="6"/>
      <c r="Q18" s="6"/>
      <c r="T18" s="6"/>
      <c r="U18" s="6"/>
      <c r="W18" s="7"/>
      <c r="X18" s="6"/>
      <c r="AA18" s="6"/>
      <c r="AB18" s="6"/>
      <c r="AD18" s="7"/>
      <c r="AE18" s="6"/>
      <c r="AH18" s="6"/>
      <c r="AI18" s="6"/>
      <c r="AJ18" s="8"/>
    </row>
    <row r="19" spans="1:36" x14ac:dyDescent="0.3">
      <c r="A19">
        <v>160</v>
      </c>
      <c r="B19">
        <f>control!$B$3*COS('k2'!A19/180*PI())</f>
        <v>-0.93969262078590832</v>
      </c>
      <c r="C19">
        <f>control!$B$3*SIN('k2'!A19/180*PI())</f>
        <v>0.34202014332566888</v>
      </c>
      <c r="D19">
        <v>160</v>
      </c>
      <c r="E19">
        <f>control!$B$2*COS('k2'!D19/180*PI())</f>
        <v>-1.8793852415718166</v>
      </c>
      <c r="F19">
        <f>control!$B$2*SIN('k2'!D19/180*PI())</f>
        <v>0.68404028665133776</v>
      </c>
      <c r="G19" s="1">
        <v>-1</v>
      </c>
      <c r="H19">
        <f>G19*control!$B$9/2+control!$B$8</f>
        <v>-17.5</v>
      </c>
      <c r="I19" s="1">
        <f>control!$B$3*TAN('k2'!H19/180*PI())/SQRT(1+TAN('k2'!H19/180*PI())^2+TAN('k2'!$H$18/180*PI())^2)</f>
        <v>-0.29654195678697232</v>
      </c>
      <c r="J19" s="40">
        <f>control!$B$3*TAN('k2'!$H$18/180*PI())/SQRT(1+TAN('k2'!H19/180*PI())^2+TAN('k2'!$H$18/180*PI())^2)</f>
        <v>0.16583745240358658</v>
      </c>
      <c r="K19" s="3" t="b">
        <f>(I19^2+J19^2)&gt;=1</f>
        <v>0</v>
      </c>
      <c r="L19" s="3" t="b">
        <f>(I19^2+J19^2)&lt;=control!$B$2^2</f>
        <v>1</v>
      </c>
      <c r="M19" s="40">
        <f>ASIN(SQRT(I19^2+J19^2)/control!$B$3)/PI()*180</f>
        <v>19.862462001023477</v>
      </c>
      <c r="N19" s="40">
        <f>ATAN2(I19,J19)/PI()*180</f>
        <v>150.78443244019712</v>
      </c>
      <c r="O19" s="5">
        <f>ASIN((I19*$J$58-$I$58*J19)/(SQRT(I19^2+J19^2)*SQRT($I$58^2+$J$58^2)))/PI()*180</f>
        <v>60.784432440197115</v>
      </c>
      <c r="P19" s="40">
        <f t="shared" ref="P19:P29" si="15">I19+$P$4</f>
        <v>-1.6090419567869723</v>
      </c>
      <c r="Q19" s="40">
        <f t="shared" ref="Q19:Q29" si="16">J19+$Q$4</f>
        <v>0.16583745240358641</v>
      </c>
      <c r="R19" s="3" t="b">
        <f>(P19^2+Q19^2)&gt;=1</f>
        <v>1</v>
      </c>
      <c r="S19" s="3" t="b">
        <f>(P19^2+Q19^2)&lt;=control!$B$2^2</f>
        <v>1</v>
      </c>
      <c r="T19" s="40">
        <f>ASIN(SQRT(P19^2+Q19^2)/control!$B$2)/PI()*180</f>
        <v>53.977171709163812</v>
      </c>
      <c r="U19" s="40">
        <f>ATAN2(P19,Q19)/PI()*180</f>
        <v>174.11553293718083</v>
      </c>
      <c r="V19" s="5">
        <f t="shared" si="8"/>
        <v>5.8844670628191915</v>
      </c>
      <c r="W19" s="1">
        <f t="shared" ref="W19:W29" si="17">P19+$W$4</f>
        <v>-0.29654195678697226</v>
      </c>
      <c r="X19" s="40">
        <f t="shared" ref="X19:X29" si="18">Q19+$X$4</f>
        <v>1.4783374524035868</v>
      </c>
      <c r="Y19" s="3" t="b">
        <f>(W19^2+X19^2)&gt;=1</f>
        <v>1</v>
      </c>
      <c r="Z19" s="3" t="b">
        <f>(W19^2+X19^2)&lt;=control!$B$2^2</f>
        <v>1</v>
      </c>
      <c r="AA19" s="40">
        <f>ASIN(SQRT(W19^2+X19^2)/control!$B$2)/PI()*180</f>
        <v>48.928738274606559</v>
      </c>
      <c r="AB19" s="40">
        <f>ATAN2(W19,X19)/PI()*180</f>
        <v>101.34251684543223</v>
      </c>
      <c r="AC19" s="5">
        <f>ASIN((W19*$X$58-$W$58*X19)/(SQRT(W19^2+X19^2)*SQRT($W$58^2+$X$58^2)))/PI()*180</f>
        <v>-11.342516845432232</v>
      </c>
      <c r="AD19" s="1">
        <f t="shared" ref="AD19:AD29" si="19">W19+$AD$4</f>
        <v>-0.29654195678697221</v>
      </c>
      <c r="AE19" s="40">
        <f>X19+$AE$4</f>
        <v>0.16583745240358683</v>
      </c>
      <c r="AF19" s="3" t="b">
        <f>(AD19^2+AE19^2)&gt;=1</f>
        <v>0</v>
      </c>
      <c r="AG19" s="3" t="b">
        <f>(AD19^2+AE19^2)&lt;=control!$B$2^2</f>
        <v>1</v>
      </c>
      <c r="AH19" s="40">
        <f>ASIN(SQRT(AD19^2+AE19^2)/control!$B$3)/PI()*180</f>
        <v>19.862462001023477</v>
      </c>
      <c r="AI19" s="40">
        <f>ATAN2(AD19,AE19)/PI()*180</f>
        <v>150.78443244019707</v>
      </c>
      <c r="AJ19" s="5">
        <f>ASIN((AD19*$AE$58-$AD$58*AE19)/(SQRT(AD19^2+AE19^2)*SQRT($AD$58^2+$AE$58^2)))/PI()*180</f>
        <v>-74.30100054898837</v>
      </c>
    </row>
    <row r="20" spans="1:36" x14ac:dyDescent="0.3">
      <c r="A20">
        <v>170</v>
      </c>
      <c r="B20">
        <f>control!$B$3*COS('k2'!A20/180*PI())</f>
        <v>-0.98480775301220802</v>
      </c>
      <c r="C20">
        <f>control!$B$3*SIN('k2'!A20/180*PI())</f>
        <v>0.17364817766693069</v>
      </c>
      <c r="D20">
        <v>170</v>
      </c>
      <c r="E20">
        <f>control!$B$2*COS('k2'!D20/180*PI())</f>
        <v>-1.969615506024416</v>
      </c>
      <c r="F20">
        <f>control!$B$2*SIN('k2'!D20/180*PI())</f>
        <v>0.34729635533386138</v>
      </c>
      <c r="G20" s="1">
        <v>-0.8</v>
      </c>
      <c r="H20">
        <f>G20*control!$B$9/2+control!$B$8</f>
        <v>-14</v>
      </c>
      <c r="I20" s="1">
        <f>control!$B$3*TAN('k2'!H20/180*PI())/SQRT(1+TAN('k2'!H20/180*PI())^2+TAN('k2'!$H$18/180*PI())^2)</f>
        <v>-0.23845706356958102</v>
      </c>
      <c r="J20" s="40">
        <f>control!$B$3*TAN('k2'!$H$18/180*PI())/SQRT(1+TAN('k2'!H20/180*PI())^2+TAN('k2'!$H$18/180*PI())^2)</f>
        <v>0.16863895578659316</v>
      </c>
      <c r="K20" s="40" t="b">
        <f>(I20^2+J20^2)&gt;=1</f>
        <v>0</v>
      </c>
      <c r="L20" s="40" t="b">
        <f>(I20^2+J20^2)&lt;=control!$B$2^2</f>
        <v>1</v>
      </c>
      <c r="M20" s="40">
        <f>ASIN(SQRT(I20^2+J20^2)/control!$B$3)/PI()*180</f>
        <v>16.9815127090834</v>
      </c>
      <c r="N20" s="40">
        <f t="shared" ref="N20:N29" si="20">ATAN2(I20,J20)/PI()*180</f>
        <v>144.73171014801039</v>
      </c>
      <c r="O20" s="2">
        <f t="shared" ref="O20:O29" si="21">ASIN((I20*$J$58-$I$58*J20)/(SQRT(I20^2+J20^2)*SQRT($I$58^2+$J$58^2)))/PI()*180</f>
        <v>54.731710148010386</v>
      </c>
      <c r="P20" s="40">
        <f t="shared" si="15"/>
        <v>-1.5509570635695811</v>
      </c>
      <c r="Q20" s="40">
        <f t="shared" si="16"/>
        <v>0.16863895578659299</v>
      </c>
      <c r="R20" s="40" t="b">
        <f>(P20^2+Q20^2)&gt;=1</f>
        <v>1</v>
      </c>
      <c r="S20" s="40" t="b">
        <f>(P20^2+Q20^2)&lt;=control!$B$2^2</f>
        <v>1</v>
      </c>
      <c r="T20" s="40">
        <f>ASIN(SQRT(P20^2+Q20^2)/control!$B$2)/PI()*180</f>
        <v>51.265078754750036</v>
      </c>
      <c r="U20" s="40">
        <f t="shared" ref="U20:U29" si="22">ATAN2(P20,Q20)/PI()*180</f>
        <v>173.79448317324304</v>
      </c>
      <c r="V20" s="2">
        <f t="shared" si="8"/>
        <v>6.2055168267569849</v>
      </c>
      <c r="W20" s="1">
        <f t="shared" si="17"/>
        <v>-0.23845706356958107</v>
      </c>
      <c r="X20" s="40">
        <f t="shared" si="18"/>
        <v>1.4811389557865935</v>
      </c>
      <c r="Y20" s="40" t="b">
        <f>(W20^2+X20^2)&gt;=1</f>
        <v>1</v>
      </c>
      <c r="Z20" s="40" t="b">
        <f>(W20^2+X20^2)&lt;=control!$B$2^2</f>
        <v>1</v>
      </c>
      <c r="AA20" s="40">
        <f>ASIN(SQRT(W20^2+X20^2)/control!$B$2)/PI()*180</f>
        <v>48.599536697330635</v>
      </c>
      <c r="AB20" s="40">
        <f t="shared" ref="AB20:AB29" si="23">ATAN2(W20,X20)/PI()*180</f>
        <v>99.145895946038337</v>
      </c>
      <c r="AC20" s="2">
        <f t="shared" ref="AC20:AC29" si="24">ASIN((W20*$X$58-$W$58*X20)/(SQRT(W20^2+X20^2)*SQRT($W$58^2+$X$58^2)))/PI()*180</f>
        <v>-9.1458959460383351</v>
      </c>
      <c r="AD20" s="1">
        <f t="shared" si="19"/>
        <v>-0.23845706356958099</v>
      </c>
      <c r="AE20" s="40">
        <f>X20+$AE$4</f>
        <v>0.16863895578659349</v>
      </c>
      <c r="AF20" s="40" t="b">
        <f>(AD20^2+AE20^2)&gt;=1</f>
        <v>0</v>
      </c>
      <c r="AG20" s="40" t="b">
        <f>(AD20^2+AE20^2)&lt;=control!$B$2^2</f>
        <v>1</v>
      </c>
      <c r="AH20" s="40">
        <f>ASIN(SQRT(AD20^2+AE20^2)/control!$B$3)/PI()*180</f>
        <v>16.981512709083411</v>
      </c>
      <c r="AI20" s="40">
        <f>ATAN2(AD20,AE20)/PI()*180</f>
        <v>144.73171014801034</v>
      </c>
      <c r="AJ20" s="2">
        <f>ASIN((AD20*$AE$58-$AD$58*AE20)/(SQRT(AD20^2+AE20^2)*SQRT($AD$58^2+$AE$58^2)))/PI()*180</f>
        <v>-68.248278256801655</v>
      </c>
    </row>
    <row r="21" spans="1:36" x14ac:dyDescent="0.3">
      <c r="A21">
        <v>180</v>
      </c>
      <c r="B21">
        <f>control!$B$3*COS('k2'!A21/180*PI())</f>
        <v>-1</v>
      </c>
      <c r="C21">
        <f>control!$B$3*SIN('k2'!A21/180*PI())</f>
        <v>1.22514845490862E-16</v>
      </c>
      <c r="D21">
        <v>180</v>
      </c>
      <c r="E21">
        <f>control!$B$2*COS('k2'!D21/180*PI())</f>
        <v>-2</v>
      </c>
      <c r="F21">
        <f>control!$B$2*SIN('k2'!D21/180*PI())</f>
        <v>2.45029690981724E-16</v>
      </c>
      <c r="G21" s="1">
        <v>-0.6</v>
      </c>
      <c r="H21">
        <f>G21*control!$B$9/2+control!$B$8</f>
        <v>-10.5</v>
      </c>
      <c r="I21" s="1">
        <f>control!$B$3*TAN('k2'!H21/180*PI())/SQRT(1+TAN('k2'!H21/180*PI())^2+TAN('k2'!$H$18/180*PI())^2)</f>
        <v>-0.1795568848144925</v>
      </c>
      <c r="J21" s="40">
        <f>control!$B$3*TAN('k2'!$H$18/180*PI())/SQRT(1+TAN('k2'!H21/180*PI())^2+TAN('k2'!$H$18/180*PI())^2)</f>
        <v>0.17082597666591404</v>
      </c>
      <c r="K21" s="40" t="b">
        <f t="shared" ref="K21:K29" si="25">(I21^2+J21^2)&gt;=1</f>
        <v>0</v>
      </c>
      <c r="L21" s="40" t="b">
        <f>(I21^2+J21^2)&lt;=control!$B$2^2</f>
        <v>1</v>
      </c>
      <c r="M21" s="40">
        <f>ASIN(SQRT(I21^2+J21^2)/control!$B$3)/PI()*180</f>
        <v>14.349435774653708</v>
      </c>
      <c r="N21" s="40">
        <f t="shared" si="20"/>
        <v>136.42741196891291</v>
      </c>
      <c r="O21" s="2">
        <f t="shared" si="21"/>
        <v>46.427411968912921</v>
      </c>
      <c r="P21" s="40">
        <f t="shared" si="15"/>
        <v>-1.4920568848144926</v>
      </c>
      <c r="Q21" s="40">
        <f t="shared" si="16"/>
        <v>0.17082597666591387</v>
      </c>
      <c r="R21" s="40" t="b">
        <f t="shared" ref="R21:R29" si="26">(P21^2+Q21^2)&gt;=1</f>
        <v>1</v>
      </c>
      <c r="S21" s="40" t="b">
        <f>(P21^2+Q21^2)&lt;=control!$B$2^2</f>
        <v>1</v>
      </c>
      <c r="T21" s="40">
        <f>ASIN(SQRT(P21^2+Q21^2)/control!$B$2)/PI()*180</f>
        <v>48.668572539342435</v>
      </c>
      <c r="U21" s="40">
        <f t="shared" si="22"/>
        <v>173.46863016020748</v>
      </c>
      <c r="V21" s="2">
        <f t="shared" si="8"/>
        <v>6.5313698397925499</v>
      </c>
      <c r="W21" s="1">
        <f t="shared" si="17"/>
        <v>-0.17955688481449261</v>
      </c>
      <c r="X21" s="40">
        <f t="shared" si="18"/>
        <v>1.4833259766659144</v>
      </c>
      <c r="Y21" s="40" t="b">
        <f t="shared" ref="Y21:Y29" si="27">(W21^2+X21^2)&gt;=1</f>
        <v>1</v>
      </c>
      <c r="Z21" s="40" t="b">
        <f>(W21^2+X21^2)&lt;=control!$B$2^2</f>
        <v>1</v>
      </c>
      <c r="AA21" s="40">
        <f>ASIN(SQRT(W21^2+X21^2)/control!$B$2)/PI()*180</f>
        <v>48.3378155588303</v>
      </c>
      <c r="AB21" s="40">
        <f t="shared" si="23"/>
        <v>96.902083061745287</v>
      </c>
      <c r="AC21" s="2">
        <f t="shared" si="24"/>
        <v>-6.9020830617453033</v>
      </c>
      <c r="AD21" s="1">
        <f t="shared" si="19"/>
        <v>-0.17955688481449253</v>
      </c>
      <c r="AE21" s="40">
        <f>X21+$AE$4</f>
        <v>0.17082597666591437</v>
      </c>
      <c r="AF21" s="40" t="b">
        <f t="shared" ref="AF21:AF29" si="28">(AD21^2+AE21^2)&gt;=1</f>
        <v>0</v>
      </c>
      <c r="AG21" s="40" t="b">
        <f>(AD21^2+AE21^2)&lt;=control!$B$2^2</f>
        <v>1</v>
      </c>
      <c r="AH21" s="40">
        <f>ASIN(SQRT(AD21^2+AE21^2)/control!$B$3)/PI()*180</f>
        <v>14.349435774653722</v>
      </c>
      <c r="AI21" s="40">
        <f>ATAN2(AD21,AE21)/PI()*180</f>
        <v>136.42741196891285</v>
      </c>
      <c r="AJ21" s="2">
        <f>ASIN((AD21*$AE$58-$AD$58*AE21)/(SQRT(AD21^2+AE21^2)*SQRT($AD$58^2+$AE$58^2)))/PI()*180</f>
        <v>-59.943980077704154</v>
      </c>
    </row>
    <row r="22" spans="1:36" x14ac:dyDescent="0.3">
      <c r="A22">
        <v>190</v>
      </c>
      <c r="B22">
        <f>control!$B$3*COS('k2'!A22/180*PI())</f>
        <v>-0.98480775301220802</v>
      </c>
      <c r="C22">
        <f>control!$B$3*SIN('k2'!A22/180*PI())</f>
        <v>-0.17364817766693047</v>
      </c>
      <c r="D22">
        <v>190</v>
      </c>
      <c r="E22">
        <f>control!$B$2*COS('k2'!D22/180*PI())</f>
        <v>-1.969615506024416</v>
      </c>
      <c r="F22">
        <f>control!$B$2*SIN('k2'!D22/180*PI())</f>
        <v>-0.34729635533386094</v>
      </c>
      <c r="G22" s="1">
        <v>-0.4</v>
      </c>
      <c r="H22">
        <f>G22*control!$B$9/2+control!$B$8</f>
        <v>-7</v>
      </c>
      <c r="I22" s="1">
        <f>control!$B$3*TAN('k2'!H22/180*PI())/SQRT(1+TAN('k2'!H22/180*PI())^2+TAN('k2'!$H$18/180*PI())^2)</f>
        <v>-0.12004475807606822</v>
      </c>
      <c r="J22" s="40">
        <f>control!$B$3*TAN('k2'!$H$18/180*PI())/SQRT(1+TAN('k2'!H22/180*PI())^2+TAN('k2'!$H$18/180*PI())^2)</f>
        <v>0.17239243750010019</v>
      </c>
      <c r="K22" s="40" t="b">
        <f t="shared" si="25"/>
        <v>0</v>
      </c>
      <c r="L22" s="40" t="b">
        <f>(I22^2+J22^2)&lt;=control!$B$2^2</f>
        <v>1</v>
      </c>
      <c r="M22" s="40">
        <f>ASIN(SQRT(I22^2+J22^2)/control!$B$3)/PI()*180</f>
        <v>12.126523017514099</v>
      </c>
      <c r="N22" s="40">
        <f t="shared" si="20"/>
        <v>124.85126374945099</v>
      </c>
      <c r="O22" s="2">
        <f t="shared" si="21"/>
        <v>34.851263749451007</v>
      </c>
      <c r="P22" s="40">
        <f t="shared" si="15"/>
        <v>-1.4325447580760682</v>
      </c>
      <c r="Q22" s="40">
        <f t="shared" si="16"/>
        <v>0.17239243750010003</v>
      </c>
      <c r="R22" s="40" t="b">
        <f t="shared" si="26"/>
        <v>1</v>
      </c>
      <c r="S22" s="40" t="b">
        <f>(P22^2+Q22^2)&lt;=control!$B$2^2</f>
        <v>1</v>
      </c>
      <c r="T22" s="40">
        <f>ASIN(SQRT(P22^2+Q22^2)/control!$B$2)/PI()*180</f>
        <v>46.1735113355669</v>
      </c>
      <c r="U22" s="40">
        <f t="shared" si="22"/>
        <v>173.13802328164002</v>
      </c>
      <c r="V22" s="2">
        <f t="shared" si="8"/>
        <v>6.8619767183600011</v>
      </c>
      <c r="W22" s="1">
        <f t="shared" si="17"/>
        <v>-0.12004475807606818</v>
      </c>
      <c r="X22" s="40">
        <f t="shared" si="18"/>
        <v>1.4848924375001005</v>
      </c>
      <c r="Y22" s="40" t="b">
        <f t="shared" si="27"/>
        <v>1</v>
      </c>
      <c r="Z22" s="40" t="b">
        <f>(W22^2+X22^2)&lt;=control!$B$2^2</f>
        <v>1</v>
      </c>
      <c r="AA22" s="40">
        <f>ASIN(SQRT(W22^2+X22^2)/control!$B$2)/PI()*180</f>
        <v>48.147804824680357</v>
      </c>
      <c r="AB22" s="40">
        <f t="shared" si="23"/>
        <v>94.621972507109078</v>
      </c>
      <c r="AC22" s="2">
        <f t="shared" si="24"/>
        <v>-4.621972507109084</v>
      </c>
      <c r="AD22" s="1">
        <f t="shared" si="19"/>
        <v>-0.1200447580760681</v>
      </c>
      <c r="AE22" s="40">
        <f>X22+$AE$4</f>
        <v>0.17239243750010047</v>
      </c>
      <c r="AF22" s="40" t="b">
        <f t="shared" si="28"/>
        <v>0</v>
      </c>
      <c r="AG22" s="40" t="b">
        <f>(AD22^2+AE22^2)&lt;=control!$B$2^2</f>
        <v>1</v>
      </c>
      <c r="AH22" s="40">
        <f>ASIN(SQRT(AD22^2+AE22^2)/control!$B$3)/PI()*180</f>
        <v>12.126523017514106</v>
      </c>
      <c r="AI22" s="40">
        <f>ATAN2(AD22,AE22)/PI()*180</f>
        <v>124.85126374945094</v>
      </c>
      <c r="AJ22" s="2">
        <f>ASIN((AD22*$AE$58-$AD$58*AE22)/(SQRT(AD22^2+AE22^2)*SQRT($AD$58^2+$AE$58^2)))/PI()*180</f>
        <v>-48.367831858242262</v>
      </c>
    </row>
    <row r="23" spans="1:36" x14ac:dyDescent="0.3">
      <c r="A23">
        <v>200</v>
      </c>
      <c r="B23">
        <f>control!$B$3*COS('k2'!A23/180*PI())</f>
        <v>-0.93969262078590843</v>
      </c>
      <c r="C23">
        <f>control!$B$3*SIN('k2'!A23/180*PI())</f>
        <v>-0.34202014332566866</v>
      </c>
      <c r="D23">
        <v>200</v>
      </c>
      <c r="E23">
        <f>control!$B$2*COS('k2'!D23/180*PI())</f>
        <v>-1.8793852415718169</v>
      </c>
      <c r="F23">
        <f>control!$B$2*SIN('k2'!D23/180*PI())</f>
        <v>-0.68404028665133731</v>
      </c>
      <c r="G23" s="1">
        <v>-0.2</v>
      </c>
      <c r="H23">
        <f>G23*control!$B$9/2+control!$B$8</f>
        <v>-3.5</v>
      </c>
      <c r="I23" s="1">
        <f>control!$B$3*TAN('k2'!H23/180*PI())/SQRT(1+TAN('k2'!H23/180*PI())^2+TAN('k2'!$H$18/180*PI())^2)</f>
        <v>-6.0124453547445153E-2</v>
      </c>
      <c r="J23" s="40">
        <f>control!$B$3*TAN('k2'!$H$18/180*PI())/SQRT(1+TAN('k2'!H23/180*PI())^2+TAN('k2'!$H$18/180*PI())^2)</f>
        <v>0.17333402876925988</v>
      </c>
      <c r="K23" s="40" t="b">
        <f t="shared" si="25"/>
        <v>0</v>
      </c>
      <c r="L23" s="40" t="b">
        <f>(I23^2+J23^2)&lt;=control!$B$2^2</f>
        <v>1</v>
      </c>
      <c r="M23" s="40">
        <f>ASIN(SQRT(I23^2+J23^2)/control!$B$3)/PI()*180</f>
        <v>10.57168810780826</v>
      </c>
      <c r="N23" s="40">
        <f t="shared" si="20"/>
        <v>109.13014924248694</v>
      </c>
      <c r="O23" s="2">
        <f t="shared" si="21"/>
        <v>19.130149242486926</v>
      </c>
      <c r="P23" s="40">
        <f t="shared" si="15"/>
        <v>-1.3726244535474452</v>
      </c>
      <c r="Q23" s="40">
        <f t="shared" si="16"/>
        <v>0.17333402876925971</v>
      </c>
      <c r="R23" s="40" t="b">
        <f t="shared" si="26"/>
        <v>1</v>
      </c>
      <c r="S23" s="40" t="b">
        <f>(P23^2+Q23^2)&lt;=control!$B$2^2</f>
        <v>1</v>
      </c>
      <c r="T23" s="40">
        <f>ASIN(SQRT(P23^2+Q23^2)/control!$B$2)/PI()*180</f>
        <v>43.769804944691955</v>
      </c>
      <c r="U23" s="40">
        <f t="shared" si="22"/>
        <v>172.80282531345659</v>
      </c>
      <c r="V23" s="2">
        <f t="shared" si="8"/>
        <v>7.1971746865433985</v>
      </c>
      <c r="W23" s="1">
        <f t="shared" si="17"/>
        <v>-6.0124453547445222E-2</v>
      </c>
      <c r="X23" s="40">
        <f t="shared" si="18"/>
        <v>1.4858340287692602</v>
      </c>
      <c r="Y23" s="40" t="b">
        <f t="shared" si="27"/>
        <v>1</v>
      </c>
      <c r="Z23" s="40" t="b">
        <f>(W23^2+X23^2)&lt;=control!$B$2^2</f>
        <v>1</v>
      </c>
      <c r="AA23" s="40">
        <f>ASIN(SQRT(W23^2+X23^2)/control!$B$2)/PI()*180</f>
        <v>48.032563680291759</v>
      </c>
      <c r="AB23" s="40">
        <f t="shared" si="23"/>
        <v>92.317216437547529</v>
      </c>
      <c r="AC23" s="2">
        <f t="shared" si="24"/>
        <v>-2.3172164375475277</v>
      </c>
      <c r="AD23" s="1">
        <f t="shared" si="19"/>
        <v>-6.0124453547445139E-2</v>
      </c>
      <c r="AE23" s="40">
        <f>X23+$AE$4</f>
        <v>0.17333402876926018</v>
      </c>
      <c r="AF23" s="40" t="b">
        <f t="shared" si="28"/>
        <v>0</v>
      </c>
      <c r="AG23" s="40" t="b">
        <f>(AD23^2+AE23^2)&lt;=control!$B$2^2</f>
        <v>1</v>
      </c>
      <c r="AH23" s="40">
        <f>ASIN(SQRT(AD23^2+AE23^2)/control!$B$3)/PI()*180</f>
        <v>10.571688107808276</v>
      </c>
      <c r="AI23" s="40">
        <f>ATAN2(AD23,AE23)/PI()*180</f>
        <v>109.13014924248689</v>
      </c>
      <c r="AJ23" s="2">
        <f>ASIN((AD23*$AE$58-$AD$58*AE23)/(SQRT(AD23^2+AE23^2)*SQRT($AD$58^2+$AE$58^2)))/PI()*180</f>
        <v>-32.646717351278205</v>
      </c>
    </row>
    <row r="24" spans="1:36" x14ac:dyDescent="0.3">
      <c r="A24">
        <v>210</v>
      </c>
      <c r="B24">
        <f>control!$B$3*COS('k2'!A24/180*PI())</f>
        <v>-0.8660254037844386</v>
      </c>
      <c r="C24">
        <f>control!$B$3*SIN('k2'!A24/180*PI())</f>
        <v>-0.50000000000000011</v>
      </c>
      <c r="D24">
        <v>210</v>
      </c>
      <c r="E24">
        <f>control!$B$2*COS('k2'!D24/180*PI())</f>
        <v>-1.7320508075688772</v>
      </c>
      <c r="F24">
        <f>control!$B$2*SIN('k2'!D24/180*PI())</f>
        <v>-1.0000000000000002</v>
      </c>
      <c r="G24" s="1">
        <v>0</v>
      </c>
      <c r="H24">
        <f>G24*control!$B$9/2+control!$B$8</f>
        <v>0</v>
      </c>
      <c r="I24" s="1">
        <f>control!$B$3*TAN('k2'!H24/180*PI())/SQRT(1+TAN('k2'!H24/180*PI())^2+TAN('k2'!$H$18/180*PI())^2)</f>
        <v>0</v>
      </c>
      <c r="J24" s="40">
        <f>control!$B$3*TAN('k2'!$H$18/180*PI())/SQRT(1+TAN('k2'!H24/180*PI())^2+TAN('k2'!$H$18/180*PI())^2)</f>
        <v>0.17364817766693036</v>
      </c>
      <c r="K24" s="40" t="b">
        <f t="shared" si="25"/>
        <v>0</v>
      </c>
      <c r="L24" s="40" t="b">
        <f>(I24^2+J24^2)&lt;=control!$B$2^2</f>
        <v>1</v>
      </c>
      <c r="M24" s="40">
        <f>ASIN(SQRT(I24^2+J24^2)/control!$B$3)/PI()*180</f>
        <v>10.000000000000002</v>
      </c>
      <c r="N24" s="40">
        <f t="shared" si="20"/>
        <v>90</v>
      </c>
      <c r="O24" s="2">
        <f t="shared" si="21"/>
        <v>0</v>
      </c>
      <c r="P24" s="40">
        <f t="shared" si="15"/>
        <v>-1.3125</v>
      </c>
      <c r="Q24" s="40">
        <f t="shared" si="16"/>
        <v>0.17364817766693019</v>
      </c>
      <c r="R24" s="40" t="b">
        <f t="shared" si="26"/>
        <v>1</v>
      </c>
      <c r="S24" s="40" t="b">
        <f>(P24^2+Q24^2)&lt;=control!$B$2^2</f>
        <v>1</v>
      </c>
      <c r="T24" s="40">
        <f>ASIN(SQRT(P24^2+Q24^2)/control!$B$2)/PI()*180</f>
        <v>41.450186106886719</v>
      </c>
      <c r="U24" s="40">
        <f t="shared" si="22"/>
        <v>172.46334600638093</v>
      </c>
      <c r="V24" s="2">
        <f t="shared" si="8"/>
        <v>7.5366539936190637</v>
      </c>
      <c r="W24" s="1">
        <f t="shared" si="17"/>
        <v>0</v>
      </c>
      <c r="X24" s="40">
        <f t="shared" si="18"/>
        <v>1.4861481776669305</v>
      </c>
      <c r="Y24" s="40" t="b">
        <f t="shared" si="27"/>
        <v>1</v>
      </c>
      <c r="Z24" s="40" t="b">
        <f>(W24^2+X24^2)&lt;=control!$B$2^2</f>
        <v>1</v>
      </c>
      <c r="AA24" s="40">
        <f>ASIN(SQRT(W24^2+X24^2)/control!$B$2)/PI()*180</f>
        <v>47.993943374836284</v>
      </c>
      <c r="AB24" s="40">
        <f t="shared" si="23"/>
        <v>90</v>
      </c>
      <c r="AC24" s="2">
        <f t="shared" si="24"/>
        <v>4.4059631951009748E-16</v>
      </c>
      <c r="AD24" s="1">
        <f t="shared" si="19"/>
        <v>8.0400367353378188E-17</v>
      </c>
      <c r="AE24" s="40">
        <f>X24+$AE$4</f>
        <v>0.17364817766693053</v>
      </c>
      <c r="AF24" s="40" t="b">
        <f t="shared" si="28"/>
        <v>0</v>
      </c>
      <c r="AG24" s="40" t="b">
        <f>(AD24^2+AE24^2)&lt;=control!$B$2^2</f>
        <v>1</v>
      </c>
      <c r="AH24" s="40">
        <f>ASIN(SQRT(AD24^2+AE24^2)/control!$B$3)/PI()*180</f>
        <v>10.000000000000011</v>
      </c>
      <c r="AI24" s="40">
        <f>ATAN2(AD24,AE24)/PI()*180</f>
        <v>89.999999999999972</v>
      </c>
      <c r="AJ24" s="2">
        <f>ASIN((AD24*$AE$58-$AD$58*AE24)/(SQRT(AD24^2+AE24^2)*SQRT($AD$58^2+$AE$58^2)))/PI()*180</f>
        <v>-13.516568108791294</v>
      </c>
    </row>
    <row r="25" spans="1:36" x14ac:dyDescent="0.3">
      <c r="A25">
        <v>220</v>
      </c>
      <c r="B25">
        <f>control!$B$3*COS('k2'!A25/180*PI())</f>
        <v>-0.76604444311897801</v>
      </c>
      <c r="C25">
        <f>control!$B$3*SIN('k2'!A25/180*PI())</f>
        <v>-0.64278760968653925</v>
      </c>
      <c r="D25">
        <v>220</v>
      </c>
      <c r="E25">
        <f>control!$B$2*COS('k2'!D25/180*PI())</f>
        <v>-1.532088886237956</v>
      </c>
      <c r="F25">
        <f>control!$B$2*SIN('k2'!D25/180*PI())</f>
        <v>-1.2855752193730785</v>
      </c>
      <c r="G25" s="1">
        <v>0.2</v>
      </c>
      <c r="H25">
        <f>G25*control!$B$9/2+control!$B$8</f>
        <v>3.5</v>
      </c>
      <c r="I25" s="1">
        <f>control!$B$3*TAN('k2'!H25/180*PI())/SQRT(1+TAN('k2'!H25/180*PI())^2+TAN('k2'!$H$18/180*PI())^2)</f>
        <v>6.0124453547445153E-2</v>
      </c>
      <c r="J25" s="40">
        <f>control!$B$3*TAN('k2'!$H$18/180*PI())/SQRT(1+TAN('k2'!H25/180*PI())^2+TAN('k2'!$H$18/180*PI())^2)</f>
        <v>0.17333402876925988</v>
      </c>
      <c r="K25" s="40" t="b">
        <f t="shared" si="25"/>
        <v>0</v>
      </c>
      <c r="L25" s="40" t="b">
        <f>(I25^2+J25^2)&lt;=control!$B$2^2</f>
        <v>1</v>
      </c>
      <c r="M25" s="40">
        <f>ASIN(SQRT(I25^2+J25^2)/control!$B$3)/PI()*180</f>
        <v>10.57168810780826</v>
      </c>
      <c r="N25" s="40">
        <f t="shared" si="20"/>
        <v>70.869850757513078</v>
      </c>
      <c r="O25" s="2">
        <f t="shared" si="21"/>
        <v>-19.130149242486926</v>
      </c>
      <c r="P25" s="40">
        <f t="shared" si="15"/>
        <v>-1.2523755464525548</v>
      </c>
      <c r="Q25" s="40">
        <f t="shared" si="16"/>
        <v>0.17333402876925971</v>
      </c>
      <c r="R25" s="40" t="b">
        <f t="shared" si="26"/>
        <v>1</v>
      </c>
      <c r="S25" s="40" t="b">
        <f>(P25^2+Q25^2)&lt;=control!$B$2^2</f>
        <v>1</v>
      </c>
      <c r="T25" s="40">
        <f>ASIN(SQRT(P25^2+Q25^2)/control!$B$2)/PI()*180</f>
        <v>39.209431807195415</v>
      </c>
      <c r="U25" s="40">
        <f t="shared" si="22"/>
        <v>172.12008446839579</v>
      </c>
      <c r="V25" s="2">
        <f t="shared" si="8"/>
        <v>7.879915531604226</v>
      </c>
      <c r="W25" s="1">
        <f t="shared" si="17"/>
        <v>6.0124453547445222E-2</v>
      </c>
      <c r="X25" s="40">
        <f t="shared" si="18"/>
        <v>1.4858340287692602</v>
      </c>
      <c r="Y25" s="40" t="b">
        <f t="shared" si="27"/>
        <v>1</v>
      </c>
      <c r="Z25" s="40" t="b">
        <f>(W25^2+X25^2)&lt;=control!$B$2^2</f>
        <v>1</v>
      </c>
      <c r="AA25" s="40">
        <f>ASIN(SQRT(W25^2+X25^2)/control!$B$2)/PI()*180</f>
        <v>48.032563680291759</v>
      </c>
      <c r="AB25" s="40">
        <f t="shared" si="23"/>
        <v>87.682783562452471</v>
      </c>
      <c r="AC25" s="2">
        <f t="shared" si="24"/>
        <v>2.317216437547529</v>
      </c>
      <c r="AD25" s="1">
        <f t="shared" si="19"/>
        <v>6.0124453547445306E-2</v>
      </c>
      <c r="AE25" s="40">
        <f>X25+$AE$4</f>
        <v>0.17333402876926018</v>
      </c>
      <c r="AF25" s="40" t="b">
        <f t="shared" si="28"/>
        <v>0</v>
      </c>
      <c r="AG25" s="40" t="b">
        <f>(AD25^2+AE25^2)&lt;=control!$B$2^2</f>
        <v>1</v>
      </c>
      <c r="AH25" s="40">
        <f>ASIN(SQRT(AD25^2+AE25^2)/control!$B$3)/PI()*180</f>
        <v>10.571688107808278</v>
      </c>
      <c r="AI25" s="40">
        <f>ATAN2(AD25,AE25)/PI()*180</f>
        <v>70.869850757513063</v>
      </c>
      <c r="AJ25" s="2">
        <f>ASIN((AD25*$AE$58-$AD$58*AE25)/(SQRT(AD25^2+AE25^2)*SQRT($AD$58^2+$AE$58^2)))/PI()*180</f>
        <v>5.613581133695619</v>
      </c>
    </row>
    <row r="26" spans="1:36" x14ac:dyDescent="0.3">
      <c r="A26">
        <v>230</v>
      </c>
      <c r="B26">
        <f>control!$B$3*COS('k2'!A26/180*PI())</f>
        <v>-0.64278760968653947</v>
      </c>
      <c r="C26">
        <f>control!$B$3*SIN('k2'!A26/180*PI())</f>
        <v>-0.7660444431189779</v>
      </c>
      <c r="D26">
        <v>230</v>
      </c>
      <c r="E26">
        <f>control!$B$2*COS('k2'!D26/180*PI())</f>
        <v>-1.2855752193730789</v>
      </c>
      <c r="F26">
        <f>control!$B$2*SIN('k2'!D26/180*PI())</f>
        <v>-1.5320888862379558</v>
      </c>
      <c r="G26" s="1">
        <v>0.4</v>
      </c>
      <c r="H26">
        <f>G26*control!$B$9/2+control!$B$8</f>
        <v>7</v>
      </c>
      <c r="I26" s="1">
        <f>control!$B$3*TAN('k2'!H26/180*PI())/SQRT(1+TAN('k2'!H26/180*PI())^2+TAN('k2'!$H$18/180*PI())^2)</f>
        <v>0.12004475807606822</v>
      </c>
      <c r="J26" s="40">
        <f>control!$B$3*TAN('k2'!$H$18/180*PI())/SQRT(1+TAN('k2'!H26/180*PI())^2+TAN('k2'!$H$18/180*PI())^2)</f>
        <v>0.17239243750010019</v>
      </c>
      <c r="K26" s="40" t="b">
        <f t="shared" si="25"/>
        <v>0</v>
      </c>
      <c r="L26" s="40" t="b">
        <f>(I26^2+J26^2)&lt;=control!$B$2^2</f>
        <v>1</v>
      </c>
      <c r="M26" s="40">
        <f>ASIN(SQRT(I26^2+J26^2)/control!$B$3)/PI()*180</f>
        <v>12.126523017514099</v>
      </c>
      <c r="N26" s="40">
        <f t="shared" si="20"/>
        <v>55.148736250548993</v>
      </c>
      <c r="O26" s="2">
        <f t="shared" si="21"/>
        <v>-34.851263749451007</v>
      </c>
      <c r="P26" s="40">
        <f t="shared" si="15"/>
        <v>-1.1924552419239318</v>
      </c>
      <c r="Q26" s="40">
        <f t="shared" si="16"/>
        <v>0.17239243750010003</v>
      </c>
      <c r="R26" s="40" t="b">
        <f t="shared" si="26"/>
        <v>1</v>
      </c>
      <c r="S26" s="40" t="b">
        <f>(P26^2+Q26^2)&lt;=control!$B$2^2</f>
        <v>1</v>
      </c>
      <c r="T26" s="40">
        <f>ASIN(SQRT(P26^2+Q26^2)/control!$B$2)/PI()*180</f>
        <v>37.043850087049755</v>
      </c>
      <c r="U26" s="40">
        <f t="shared" si="22"/>
        <v>171.77378254204575</v>
      </c>
      <c r="V26" s="2">
        <f t="shared" si="8"/>
        <v>8.2262174579542737</v>
      </c>
      <c r="W26" s="1">
        <f t="shared" si="17"/>
        <v>0.12004475807606818</v>
      </c>
      <c r="X26" s="40">
        <f t="shared" si="18"/>
        <v>1.4848924375001005</v>
      </c>
      <c r="Y26" s="40" t="b">
        <f t="shared" si="27"/>
        <v>1</v>
      </c>
      <c r="Z26" s="40" t="b">
        <f>(W26^2+X26^2)&lt;=control!$B$2^2</f>
        <v>1</v>
      </c>
      <c r="AA26" s="40">
        <f>ASIN(SQRT(W26^2+X26^2)/control!$B$2)/PI()*180</f>
        <v>48.147804824680357</v>
      </c>
      <c r="AB26" s="40">
        <f t="shared" si="23"/>
        <v>85.378027492890922</v>
      </c>
      <c r="AC26" s="2">
        <f t="shared" si="24"/>
        <v>4.621972507109084</v>
      </c>
      <c r="AD26" s="1">
        <f t="shared" si="19"/>
        <v>0.12004475807606826</v>
      </c>
      <c r="AE26" s="40">
        <f>X26+$AE$4</f>
        <v>0.17239243750010047</v>
      </c>
      <c r="AF26" s="40" t="b">
        <f t="shared" si="28"/>
        <v>0</v>
      </c>
      <c r="AG26" s="40" t="b">
        <f>(AD26^2+AE26^2)&lt;=control!$B$2^2</f>
        <v>1</v>
      </c>
      <c r="AH26" s="40">
        <f>ASIN(SQRT(AD26^2+AE26^2)/control!$B$3)/PI()*180</f>
        <v>12.126523017514113</v>
      </c>
      <c r="AI26" s="40">
        <f>ATAN2(AD26,AE26)/PI()*180</f>
        <v>55.148736250549035</v>
      </c>
      <c r="AJ26" s="2">
        <f>ASIN((AD26*$AE$58-$AD$58*AE26)/(SQRT(AD26^2+AE26^2)*SQRT($AD$58^2+$AE$58^2)))/PI()*180</f>
        <v>21.334695640659657</v>
      </c>
    </row>
    <row r="27" spans="1:36" x14ac:dyDescent="0.3">
      <c r="A27">
        <v>240</v>
      </c>
      <c r="B27">
        <f>control!$B$3*COS('k2'!A27/180*PI())</f>
        <v>-0.50000000000000044</v>
      </c>
      <c r="C27">
        <f>control!$B$3*SIN('k2'!A27/180*PI())</f>
        <v>-0.86602540378443837</v>
      </c>
      <c r="D27">
        <v>240</v>
      </c>
      <c r="E27">
        <f>control!$B$2*COS('k2'!D27/180*PI())</f>
        <v>-1.0000000000000009</v>
      </c>
      <c r="F27">
        <f>control!$B$2*SIN('k2'!D27/180*PI())</f>
        <v>-1.7320508075688767</v>
      </c>
      <c r="G27" s="1">
        <v>0.6</v>
      </c>
      <c r="H27">
        <f>G27*control!$B$9/2+control!$B$8</f>
        <v>10.5</v>
      </c>
      <c r="I27" s="1">
        <f>control!$B$3*TAN('k2'!H27/180*PI())/SQRT(1+TAN('k2'!H27/180*PI())^2+TAN('k2'!$H$18/180*PI())^2)</f>
        <v>0.1795568848144925</v>
      </c>
      <c r="J27" s="40">
        <f>control!$B$3*TAN('k2'!$H$18/180*PI())/SQRT(1+TAN('k2'!H27/180*PI())^2+TAN('k2'!$H$18/180*PI())^2)</f>
        <v>0.17082597666591404</v>
      </c>
      <c r="K27" s="40" t="b">
        <f t="shared" si="25"/>
        <v>0</v>
      </c>
      <c r="L27" s="40" t="b">
        <f>(I27^2+J27^2)&lt;=control!$B$2^2</f>
        <v>1</v>
      </c>
      <c r="M27" s="40">
        <f>ASIN(SQRT(I27^2+J27^2)/control!$B$3)/PI()*180</f>
        <v>14.349435774653708</v>
      </c>
      <c r="N27" s="40">
        <f t="shared" si="20"/>
        <v>43.572588031087093</v>
      </c>
      <c r="O27" s="2">
        <f t="shared" si="21"/>
        <v>-46.427411968912921</v>
      </c>
      <c r="P27" s="40">
        <f t="shared" si="15"/>
        <v>-1.1329431151855074</v>
      </c>
      <c r="Q27" s="40">
        <f t="shared" si="16"/>
        <v>0.17082597666591387</v>
      </c>
      <c r="R27" s="40" t="b">
        <f t="shared" si="26"/>
        <v>1</v>
      </c>
      <c r="S27" s="40" t="b">
        <f>(P27^2+Q27^2)&lt;=control!$B$2^2</f>
        <v>1</v>
      </c>
      <c r="T27" s="40">
        <f>ASIN(SQRT(P27^2+Q27^2)/control!$B$2)/PI()*180</f>
        <v>34.950930510856118</v>
      </c>
      <c r="U27" s="40">
        <f t="shared" si="22"/>
        <v>171.42549186629637</v>
      </c>
      <c r="V27" s="2">
        <f t="shared" si="8"/>
        <v>8.5745081337036346</v>
      </c>
      <c r="W27" s="1">
        <f t="shared" si="17"/>
        <v>0.17955688481449261</v>
      </c>
      <c r="X27" s="40">
        <f t="shared" si="18"/>
        <v>1.4833259766659144</v>
      </c>
      <c r="Y27" s="40" t="b">
        <f t="shared" si="27"/>
        <v>1</v>
      </c>
      <c r="Z27" s="40" t="b">
        <f>(W27^2+X27^2)&lt;=control!$B$2^2</f>
        <v>1</v>
      </c>
      <c r="AA27" s="40">
        <f>ASIN(SQRT(W27^2+X27^2)/control!$B$2)/PI()*180</f>
        <v>48.3378155588303</v>
      </c>
      <c r="AB27" s="40">
        <f t="shared" si="23"/>
        <v>83.097916938254698</v>
      </c>
      <c r="AC27" s="2">
        <f t="shared" si="24"/>
        <v>6.9020830617453059</v>
      </c>
      <c r="AD27" s="1">
        <f t="shared" si="19"/>
        <v>0.1795568848144927</v>
      </c>
      <c r="AE27" s="40">
        <f>X27+$AE$4</f>
        <v>0.17082597666591437</v>
      </c>
      <c r="AF27" s="40" t="b">
        <f t="shared" si="28"/>
        <v>0</v>
      </c>
      <c r="AG27" s="40" t="b">
        <f>(AD27^2+AE27^2)&lt;=control!$B$2^2</f>
        <v>1</v>
      </c>
      <c r="AH27" s="40">
        <f>ASIN(SQRT(AD27^2+AE27^2)/control!$B$3)/PI()*180</f>
        <v>14.349435774653728</v>
      </c>
      <c r="AI27" s="40">
        <f>ATAN2(AD27,AE27)/PI()*180</f>
        <v>43.572588031087115</v>
      </c>
      <c r="AJ27" s="2">
        <f>ASIN((AD27*$AE$58-$AD$58*AE27)/(SQRT(AD27^2+AE27^2)*SQRT($AD$58^2+$AE$58^2)))/PI()*180</f>
        <v>32.91084386012156</v>
      </c>
    </row>
    <row r="28" spans="1:36" x14ac:dyDescent="0.3">
      <c r="A28">
        <v>250</v>
      </c>
      <c r="B28">
        <f>control!$B$3*COS('k2'!A28/180*PI())</f>
        <v>-0.34202014332566938</v>
      </c>
      <c r="C28">
        <f>control!$B$3*SIN('k2'!A28/180*PI())</f>
        <v>-0.93969262078590821</v>
      </c>
      <c r="D28">
        <v>250</v>
      </c>
      <c r="E28">
        <f>control!$B$2*COS('k2'!D28/180*PI())</f>
        <v>-0.68404028665133876</v>
      </c>
      <c r="F28">
        <f>control!$B$2*SIN('k2'!D28/180*PI())</f>
        <v>-1.8793852415718164</v>
      </c>
      <c r="G28" s="1">
        <v>0.8</v>
      </c>
      <c r="H28">
        <f>G28*control!$B$9/2+control!$B$8</f>
        <v>14</v>
      </c>
      <c r="I28" s="1">
        <f>control!$B$3*TAN('k2'!H28/180*PI())/SQRT(1+TAN('k2'!H28/180*PI())^2+TAN('k2'!$H$18/180*PI())^2)</f>
        <v>0.23845706356958102</v>
      </c>
      <c r="J28" s="40">
        <f>control!$B$3*TAN('k2'!$H$18/180*PI())/SQRT(1+TAN('k2'!H28/180*PI())^2+TAN('k2'!$H$18/180*PI())^2)</f>
        <v>0.16863895578659316</v>
      </c>
      <c r="K28" s="40" t="b">
        <f t="shared" si="25"/>
        <v>0</v>
      </c>
      <c r="L28" s="40" t="b">
        <f>(I28^2+J28^2)&lt;=control!$B$2^2</f>
        <v>1</v>
      </c>
      <c r="M28" s="40">
        <f>ASIN(SQRT(I28^2+J28^2)/control!$B$3)/PI()*180</f>
        <v>16.9815127090834</v>
      </c>
      <c r="N28" s="40">
        <f t="shared" si="20"/>
        <v>35.2682898519896</v>
      </c>
      <c r="O28" s="2">
        <f t="shared" si="21"/>
        <v>-54.731710148010386</v>
      </c>
      <c r="P28" s="40">
        <f t="shared" si="15"/>
        <v>-1.0740429364304189</v>
      </c>
      <c r="Q28" s="40">
        <f t="shared" si="16"/>
        <v>0.16863895578659299</v>
      </c>
      <c r="R28" s="40" t="b">
        <f t="shared" si="26"/>
        <v>1</v>
      </c>
      <c r="S28" s="40" t="b">
        <f>(P28^2+Q28^2)&lt;=control!$B$2^2</f>
        <v>1</v>
      </c>
      <c r="T28" s="40">
        <f>ASIN(SQRT(P28^2+Q28^2)/control!$B$2)/PI()*180</f>
        <v>32.92909909014913</v>
      </c>
      <c r="U28" s="40">
        <f t="shared" si="22"/>
        <v>171.07665787839511</v>
      </c>
      <c r="V28" s="2">
        <f t="shared" si="8"/>
        <v>8.923342121604886</v>
      </c>
      <c r="W28" s="1">
        <f t="shared" si="17"/>
        <v>0.23845706356958107</v>
      </c>
      <c r="X28" s="40">
        <f t="shared" si="18"/>
        <v>1.4811389557865935</v>
      </c>
      <c r="Y28" s="40" t="b">
        <f t="shared" si="27"/>
        <v>1</v>
      </c>
      <c r="Z28" s="40" t="b">
        <f>(W28^2+X28^2)&lt;=control!$B$2^2</f>
        <v>1</v>
      </c>
      <c r="AA28" s="40">
        <f>ASIN(SQRT(W28^2+X28^2)/control!$B$2)/PI()*180</f>
        <v>48.599536697330635</v>
      </c>
      <c r="AB28" s="40">
        <f t="shared" si="23"/>
        <v>80.854104053961663</v>
      </c>
      <c r="AC28" s="2">
        <f t="shared" si="24"/>
        <v>9.1458959460383351</v>
      </c>
      <c r="AD28" s="1">
        <f t="shared" si="19"/>
        <v>0.23845706356958116</v>
      </c>
      <c r="AE28" s="40">
        <f>X28+$AE$4</f>
        <v>0.16863895578659349</v>
      </c>
      <c r="AF28" s="40" t="b">
        <f t="shared" si="28"/>
        <v>0</v>
      </c>
      <c r="AG28" s="40" t="b">
        <f>(AD28^2+AE28^2)&lt;=control!$B$2^2</f>
        <v>1</v>
      </c>
      <c r="AH28" s="40">
        <f>ASIN(SQRT(AD28^2+AE28^2)/control!$B$3)/PI()*180</f>
        <v>16.981512709083422</v>
      </c>
      <c r="AI28" s="40">
        <f>ATAN2(AD28,AE28)/PI()*180</f>
        <v>35.268289851989636</v>
      </c>
      <c r="AJ28" s="2">
        <f>ASIN((AD28*$AE$58-$AD$58*AE28)/(SQRT(AD28^2+AE28^2)*SQRT($AD$58^2+$AE$58^2)))/PI()*180</f>
        <v>41.215142039219039</v>
      </c>
    </row>
    <row r="29" spans="1:36" x14ac:dyDescent="0.3">
      <c r="A29">
        <v>260</v>
      </c>
      <c r="B29">
        <f>control!$B$3*COS('k2'!A29/180*PI())</f>
        <v>-0.17364817766693033</v>
      </c>
      <c r="C29">
        <f>control!$B$3*SIN('k2'!A29/180*PI())</f>
        <v>-0.98480775301220802</v>
      </c>
      <c r="D29">
        <v>260</v>
      </c>
      <c r="E29">
        <f>control!$B$2*COS('k2'!D29/180*PI())</f>
        <v>-0.34729635533386066</v>
      </c>
      <c r="F29">
        <f>control!$B$2*SIN('k2'!D29/180*PI())</f>
        <v>-1.969615506024416</v>
      </c>
      <c r="G29" s="1">
        <v>1</v>
      </c>
      <c r="H29">
        <f>G29*control!$B$9/2+control!$B$8</f>
        <v>17.5</v>
      </c>
      <c r="I29" s="7">
        <f>control!$B$3*TAN('k2'!H29/180*PI())/SQRT(1+TAN('k2'!H29/180*PI())^2+TAN('k2'!$H$18/180*PI())^2)</f>
        <v>0.29654195678697232</v>
      </c>
      <c r="J29" s="6">
        <f>control!$B$3*TAN('k2'!$H$18/180*PI())/SQRT(1+TAN('k2'!H29/180*PI())^2+TAN('k2'!$H$18/180*PI())^2)</f>
        <v>0.16583745240358658</v>
      </c>
      <c r="K29" s="6" t="b">
        <f t="shared" si="25"/>
        <v>0</v>
      </c>
      <c r="L29" s="6" t="b">
        <f>(I29^2+J29^2)&lt;=control!$B$2^2</f>
        <v>1</v>
      </c>
      <c r="M29" s="6">
        <f>ASIN(SQRT(I29^2+J29^2)/control!$B$3)/PI()*180</f>
        <v>19.862462001023477</v>
      </c>
      <c r="N29" s="6">
        <f t="shared" si="20"/>
        <v>29.215567559802889</v>
      </c>
      <c r="O29" s="8">
        <f t="shared" si="21"/>
        <v>-60.784432440197115</v>
      </c>
      <c r="P29" s="6">
        <f t="shared" si="15"/>
        <v>-1.0159580432130277</v>
      </c>
      <c r="Q29" s="6">
        <f t="shared" si="16"/>
        <v>0.16583745240358641</v>
      </c>
      <c r="R29" s="6" t="b">
        <f t="shared" si="26"/>
        <v>1</v>
      </c>
      <c r="S29" s="6" t="b">
        <f>(P29^2+Q29^2)&lt;=control!$B$2^2</f>
        <v>1</v>
      </c>
      <c r="T29" s="6">
        <f>ASIN(SQRT(P29^2+Q29^2)/control!$B$2)/PI()*180</f>
        <v>30.977541756612105</v>
      </c>
      <c r="U29" s="6">
        <f t="shared" si="22"/>
        <v>170.72922462656476</v>
      </c>
      <c r="V29" s="8">
        <f t="shared" si="8"/>
        <v>9.2707753734352725</v>
      </c>
      <c r="W29" s="7">
        <f t="shared" si="17"/>
        <v>0.29654195678697226</v>
      </c>
      <c r="X29" s="6">
        <f t="shared" si="18"/>
        <v>1.4783374524035868</v>
      </c>
      <c r="Y29" s="6" t="b">
        <f t="shared" si="27"/>
        <v>1</v>
      </c>
      <c r="Z29" s="6" t="b">
        <f>(W29^2+X29^2)&lt;=control!$B$2^2</f>
        <v>1</v>
      </c>
      <c r="AA29" s="6">
        <f>ASIN(SQRT(W29^2+X29^2)/control!$B$2)/PI()*180</f>
        <v>48.928738274606559</v>
      </c>
      <c r="AB29" s="6">
        <f t="shared" si="23"/>
        <v>78.657483154567771</v>
      </c>
      <c r="AC29" s="8">
        <f t="shared" si="24"/>
        <v>11.342516845432236</v>
      </c>
      <c r="AD29" s="7">
        <f t="shared" si="19"/>
        <v>0.29654195678697232</v>
      </c>
      <c r="AE29" s="6">
        <f>X29+$AE$4</f>
        <v>0.16583745240358683</v>
      </c>
      <c r="AF29" s="6" t="b">
        <f t="shared" si="28"/>
        <v>0</v>
      </c>
      <c r="AG29" s="6" t="b">
        <f>(AD29^2+AE29^2)&lt;=control!$B$2^2</f>
        <v>1</v>
      </c>
      <c r="AH29" s="6">
        <f>ASIN(SQRT(AD29^2+AE29^2)/control!$B$3)/PI()*180</f>
        <v>19.862462001023488</v>
      </c>
      <c r="AI29" s="6">
        <f>ATAN2(AD29,AE29)/PI()*180</f>
        <v>29.215567559802928</v>
      </c>
      <c r="AJ29" s="8">
        <f>ASIN((AD29*$AE$58-$AD$58*AE29)/(SQRT(AD29^2+AE29^2)*SQRT($AD$58^2+$AE$58^2)))/PI()*180</f>
        <v>47.267864331405761</v>
      </c>
    </row>
    <row r="30" spans="1:36" x14ac:dyDescent="0.3">
      <c r="A30">
        <v>270</v>
      </c>
      <c r="B30">
        <f>control!$B$3*COS('k2'!A30/180*PI())</f>
        <v>-1.83772268236293E-16</v>
      </c>
      <c r="C30">
        <f>control!$B$3*SIN('k2'!A30/180*PI())</f>
        <v>-1</v>
      </c>
      <c r="D30">
        <v>270</v>
      </c>
      <c r="E30">
        <f>control!$B$2*COS('k2'!D30/180*PI())</f>
        <v>-3.67544536472586E-16</v>
      </c>
      <c r="F30">
        <f>control!$B$2*SIN('k2'!D30/180*PI())</f>
        <v>-2</v>
      </c>
      <c r="AJ30" s="5"/>
    </row>
    <row r="31" spans="1:36" x14ac:dyDescent="0.3">
      <c r="A31">
        <v>280</v>
      </c>
      <c r="B31">
        <f>control!$B$3*COS('k2'!A31/180*PI())</f>
        <v>0.17364817766692997</v>
      </c>
      <c r="C31">
        <f>control!$B$3*SIN('k2'!A31/180*PI())</f>
        <v>-0.98480775301220813</v>
      </c>
      <c r="D31">
        <v>280</v>
      </c>
      <c r="E31">
        <f>control!$B$2*COS('k2'!D31/180*PI())</f>
        <v>0.34729635533385994</v>
      </c>
      <c r="F31">
        <f>control!$B$2*SIN('k2'!D31/180*PI())</f>
        <v>-1.9696155060244163</v>
      </c>
      <c r="G31" s="1" t="s">
        <v>13</v>
      </c>
      <c r="H31">
        <v>1</v>
      </c>
    </row>
    <row r="32" spans="1:36" x14ac:dyDescent="0.3">
      <c r="A32">
        <v>290</v>
      </c>
      <c r="B32">
        <f>control!$B$3*COS('k2'!A32/180*PI())</f>
        <v>0.34202014332566899</v>
      </c>
      <c r="C32">
        <f>control!$B$3*SIN('k2'!A32/180*PI())</f>
        <v>-0.93969262078590832</v>
      </c>
      <c r="D32">
        <v>290</v>
      </c>
      <c r="E32">
        <f>control!$B$2*COS('k2'!D32/180*PI())</f>
        <v>0.68404028665133798</v>
      </c>
      <c r="F32">
        <f>control!$B$2*SIN('k2'!D32/180*PI())</f>
        <v>-1.8793852415718166</v>
      </c>
      <c r="H32">
        <f>H31*control!$B$9/2+control!$B$8</f>
        <v>17.5</v>
      </c>
      <c r="I32" s="7"/>
      <c r="J32" s="6"/>
      <c r="M32" s="6"/>
      <c r="N32" s="6"/>
      <c r="P32" s="6"/>
      <c r="Q32" s="6"/>
      <c r="T32" s="6"/>
      <c r="U32" s="6"/>
      <c r="W32" s="7"/>
      <c r="X32" s="6"/>
      <c r="AA32" s="6"/>
      <c r="AB32" s="6"/>
      <c r="AD32" s="7"/>
      <c r="AE32" s="6"/>
      <c r="AH32" s="6"/>
      <c r="AI32" s="6"/>
      <c r="AJ32" s="8"/>
    </row>
    <row r="33" spans="1:36" x14ac:dyDescent="0.3">
      <c r="A33">
        <v>300</v>
      </c>
      <c r="B33">
        <f>control!$B$3*COS('k2'!A33/180*PI())</f>
        <v>0.50000000000000011</v>
      </c>
      <c r="C33">
        <f>control!$B$3*SIN('k2'!A33/180*PI())</f>
        <v>-0.8660254037844386</v>
      </c>
      <c r="D33">
        <v>300</v>
      </c>
      <c r="E33">
        <f>control!$B$2*COS('k2'!D33/180*PI())</f>
        <v>1.0000000000000002</v>
      </c>
      <c r="F33">
        <f>control!$B$2*SIN('k2'!D33/180*PI())</f>
        <v>-1.7320508075688772</v>
      </c>
      <c r="G33" s="1">
        <v>1</v>
      </c>
      <c r="H33">
        <f>G33*control!$C$9/2+control!$C$8</f>
        <v>10</v>
      </c>
      <c r="I33" s="1">
        <f>control!$B$3*TAN('k2'!$H$32/180*PI())/SQRT(1+TAN('k2'!$H$32/180*PI())^2+TAN('k2'!H33/180*PI())^2)</f>
        <v>0.29654195678697232</v>
      </c>
      <c r="J33" s="40">
        <f>control!$B$3*TAN('k2'!H33/180*PI())/SQRT(1+TAN('k2'!$H$32/180*PI())^2+TAN('k2'!H33/180*PI())^2)</f>
        <v>0.16583745240358658</v>
      </c>
      <c r="K33" s="3" t="b">
        <f>(I33^2+J33^2)&gt;=1</f>
        <v>0</v>
      </c>
      <c r="L33" s="3" t="b">
        <f>(I33^2+J33^2)&lt;=control!$B$2^2</f>
        <v>1</v>
      </c>
      <c r="M33" s="40">
        <f>ASIN(SQRT(I33^2+J33^2)/control!$B$3)/PI()*180</f>
        <v>19.862462001023477</v>
      </c>
      <c r="N33" s="40">
        <f>ATAN2(I33,J33)/PI()*180</f>
        <v>29.215567559802889</v>
      </c>
      <c r="O33" s="5">
        <f>ASIN((I33*$J$58-$I$58*J33)/(SQRT(I33^2+J33^2)*SQRT($I$58^2+$J$58^2)))/PI()*180</f>
        <v>-60.784432440197115</v>
      </c>
      <c r="P33" s="40">
        <f t="shared" ref="P33:P43" si="29">I33+$P$4</f>
        <v>-1.0159580432130277</v>
      </c>
      <c r="Q33" s="40">
        <f t="shared" ref="Q33:Q43" si="30">J33+$Q$4</f>
        <v>0.16583745240358641</v>
      </c>
      <c r="R33" s="3" t="b">
        <f>(P33^2+Q33^2)&gt;=1</f>
        <v>1</v>
      </c>
      <c r="S33" s="3" t="b">
        <f>(P33^2+Q33^2)&lt;=control!$B$2^2</f>
        <v>1</v>
      </c>
      <c r="T33" s="40">
        <f>ASIN(SQRT(P33^2+Q33^2)/control!$B$2)/PI()*180</f>
        <v>30.977541756612105</v>
      </c>
      <c r="U33" s="40">
        <f>ATAN2(P33,Q33)/PI()*180</f>
        <v>170.72922462656476</v>
      </c>
      <c r="V33" s="5">
        <f t="shared" si="8"/>
        <v>9.2707753734352725</v>
      </c>
      <c r="W33" s="1">
        <f t="shared" ref="W33:W43" si="31">P33+$W$4</f>
        <v>0.29654195678697226</v>
      </c>
      <c r="X33" s="40">
        <f t="shared" ref="X33:X43" si="32">Q33+$X$4</f>
        <v>1.4783374524035868</v>
      </c>
      <c r="Y33" s="3" t="b">
        <f>(W33^2+X33^2)&gt;=1</f>
        <v>1</v>
      </c>
      <c r="Z33" s="3" t="b">
        <f>(W33^2+X33^2)&lt;=control!$B$2^2</f>
        <v>1</v>
      </c>
      <c r="AA33" s="40">
        <f>ASIN(SQRT(W33^2+X33^2)/control!$B$2)/PI()*180</f>
        <v>48.928738274606559</v>
      </c>
      <c r="AB33" s="40">
        <f>ATAN2(W33,X33)/PI()*180</f>
        <v>78.657483154567771</v>
      </c>
      <c r="AC33" s="5">
        <f>ASIN((W33*$X$58-$W$58*X33)/(SQRT(W33^2+X33^2)*SQRT($W$58^2+$X$58^2)))/PI()*180</f>
        <v>11.342516845432236</v>
      </c>
      <c r="AD33" s="1">
        <f t="shared" ref="AD33:AD43" si="33">W33+$AD$4</f>
        <v>0.29654195678697232</v>
      </c>
      <c r="AE33" s="40">
        <f>X33+$AE$4</f>
        <v>0.16583745240358683</v>
      </c>
      <c r="AF33" s="3" t="b">
        <f>(AD33^2+AE33^2)&gt;=1</f>
        <v>0</v>
      </c>
      <c r="AG33" s="3" t="b">
        <f>(AD33^2+AE33^2)&lt;=control!$B$2^2</f>
        <v>1</v>
      </c>
      <c r="AH33" s="40">
        <f>ASIN(SQRT(AD33^2+AE33^2)/control!$B$3)/PI()*180</f>
        <v>19.862462001023488</v>
      </c>
      <c r="AI33" s="40">
        <f>ATAN2(AD33,AE33)/PI()*180</f>
        <v>29.215567559802928</v>
      </c>
      <c r="AJ33" s="5">
        <f>ASIN((AD33*$AE$58-$AD$58*AE33)/(SQRT(AD33^2+AE33^2)*SQRT($AD$58^2+$AE$58^2)))/PI()*180</f>
        <v>47.267864331405761</v>
      </c>
    </row>
    <row r="34" spans="1:36" x14ac:dyDescent="0.3">
      <c r="A34">
        <v>310</v>
      </c>
      <c r="B34">
        <f>control!$B$3*COS('k2'!A34/180*PI())</f>
        <v>0.64278760968653925</v>
      </c>
      <c r="C34">
        <f>control!$B$3*SIN('k2'!A34/180*PI())</f>
        <v>-0.76604444311897812</v>
      </c>
      <c r="D34">
        <v>310</v>
      </c>
      <c r="E34">
        <f>control!$B$2*COS('k2'!D34/180*PI())</f>
        <v>1.2855752193730785</v>
      </c>
      <c r="F34">
        <f>control!$B$2*SIN('k2'!D34/180*PI())</f>
        <v>-1.5320888862379562</v>
      </c>
      <c r="G34" s="1">
        <v>0.8</v>
      </c>
      <c r="H34">
        <f>G34*control!$C$9/2+control!$C$8</f>
        <v>8</v>
      </c>
      <c r="I34" s="1">
        <f>control!$B$3*TAN('k2'!$H$32/180*PI())/SQRT(1+TAN('k2'!$H$32/180*PI())^2+TAN('k2'!H34/180*PI())^2)</f>
        <v>0.29804046508194998</v>
      </c>
      <c r="J34" s="40">
        <f>control!$B$3*TAN('k2'!H34/180*PI())/SQRT(1+TAN('k2'!$H$32/180*PI())^2+TAN('k2'!H34/180*PI())^2)</f>
        <v>0.13284813394504671</v>
      </c>
      <c r="K34" s="40" t="b">
        <f>(I34^2+J34^2)&gt;=1</f>
        <v>0</v>
      </c>
      <c r="L34" s="40" t="b">
        <f>(I34^2+J34^2)&lt;=control!$B$2^2</f>
        <v>1</v>
      </c>
      <c r="M34" s="40">
        <f>ASIN(SQRT(I34^2+J34^2)/control!$B$3)/PI()*180</f>
        <v>19.044823258221381</v>
      </c>
      <c r="N34" s="40">
        <f t="shared" ref="N34:N43" si="34">ATAN2(I34,J34)/PI()*180</f>
        <v>24.024377091132745</v>
      </c>
      <c r="O34" s="2">
        <f t="shared" ref="O34:O43" si="35">ASIN((I34*$J$58-$I$58*J34)/(SQRT(I34^2+J34^2)*SQRT($I$58^2+$J$58^2)))/PI()*180</f>
        <v>-65.975622908867265</v>
      </c>
      <c r="P34" s="40">
        <f t="shared" si="29"/>
        <v>-1.0144595349180501</v>
      </c>
      <c r="Q34" s="40">
        <f t="shared" si="30"/>
        <v>0.13284813394504655</v>
      </c>
      <c r="R34" s="40" t="b">
        <f>(P34^2+Q34^2)&gt;=1</f>
        <v>1</v>
      </c>
      <c r="S34" s="40" t="b">
        <f>(P34^2+Q34^2)&lt;=control!$B$2^2</f>
        <v>1</v>
      </c>
      <c r="T34" s="40">
        <f>ASIN(SQRT(P34^2+Q34^2)/control!$B$2)/PI()*180</f>
        <v>30.767833035383198</v>
      </c>
      <c r="U34" s="40">
        <f t="shared" ref="U34:U43" si="36">ATAN2(P34,Q34)/PI()*180</f>
        <v>172.5393093565591</v>
      </c>
      <c r="V34" s="2">
        <f t="shared" si="8"/>
        <v>7.4606906434409028</v>
      </c>
      <c r="W34" s="1">
        <f t="shared" si="31"/>
        <v>0.29804046508194992</v>
      </c>
      <c r="X34" s="40">
        <f t="shared" si="32"/>
        <v>1.4453481339450469</v>
      </c>
      <c r="Y34" s="40" t="b">
        <f>(W34^2+X34^2)&gt;=1</f>
        <v>1</v>
      </c>
      <c r="Z34" s="40" t="b">
        <f>(W34^2+X34^2)&lt;=control!$B$2^2</f>
        <v>1</v>
      </c>
      <c r="AA34" s="40">
        <f>ASIN(SQRT(W34^2+X34^2)/control!$B$2)/PI()*180</f>
        <v>47.551017497496765</v>
      </c>
      <c r="AB34" s="40">
        <f t="shared" ref="AB34:AB43" si="37">ATAN2(W34,X34)/PI()*180</f>
        <v>78.348539263490323</v>
      </c>
      <c r="AC34" s="2">
        <f t="shared" ref="AC34:AC43" si="38">ASIN((W34*$X$58-$W$58*X34)/(SQRT(W34^2+X34^2)*SQRT($W$58^2+$X$58^2)))/PI()*180</f>
        <v>11.651460736509691</v>
      </c>
      <c r="AD34" s="1">
        <f t="shared" si="33"/>
        <v>0.29804046508194998</v>
      </c>
      <c r="AE34" s="40">
        <f>X34+$AE$4</f>
        <v>0.13284813394504691</v>
      </c>
      <c r="AF34" s="40" t="b">
        <f>(AD34^2+AE34^2)&gt;=1</f>
        <v>0</v>
      </c>
      <c r="AG34" s="40" t="b">
        <f>(AD34^2+AE34^2)&lt;=control!$B$2^2</f>
        <v>1</v>
      </c>
      <c r="AH34" s="40">
        <f>ASIN(SQRT(AD34^2+AE34^2)/control!$B$3)/PI()*180</f>
        <v>19.044823258221388</v>
      </c>
      <c r="AI34" s="40">
        <f>ATAN2(AD34,AE34)/PI()*180</f>
        <v>24.024377091132777</v>
      </c>
      <c r="AJ34" s="2">
        <f>ASIN((AD34*$AE$58-$AD$58*AE34)/(SQRT(AD34^2+AE34^2)*SQRT($AD$58^2+$AE$58^2)))/PI()*180</f>
        <v>52.459054800075904</v>
      </c>
    </row>
    <row r="35" spans="1:36" x14ac:dyDescent="0.3">
      <c r="A35">
        <v>320</v>
      </c>
      <c r="B35">
        <f>control!$B$3*COS('k2'!A35/180*PI())</f>
        <v>0.76604444311897779</v>
      </c>
      <c r="C35">
        <f>control!$B$3*SIN('k2'!A35/180*PI())</f>
        <v>-0.64278760968653958</v>
      </c>
      <c r="D35">
        <v>320</v>
      </c>
      <c r="E35">
        <f>control!$B$2*COS('k2'!D35/180*PI())</f>
        <v>1.5320888862379556</v>
      </c>
      <c r="F35">
        <f>control!$B$2*SIN('k2'!D35/180*PI())</f>
        <v>-1.2855752193730792</v>
      </c>
      <c r="G35" s="1">
        <v>0.6</v>
      </c>
      <c r="H35">
        <f>G35*control!$C$9/2+control!$C$8</f>
        <v>6</v>
      </c>
      <c r="I35" s="1">
        <f>control!$B$3*TAN('k2'!$H$32/180*PI())/SQRT(1+TAN('k2'!$H$32/180*PI())^2+TAN('k2'!H35/180*PI())^2)</f>
        <v>0.29920634470024859</v>
      </c>
      <c r="J35" s="40">
        <f>control!$B$3*TAN('k2'!H35/180*PI())/SQRT(1+TAN('k2'!$H$32/180*PI())^2+TAN('k2'!H35/180*PI())^2)</f>
        <v>9.9739850438906014E-2</v>
      </c>
      <c r="K35" s="40" t="b">
        <f t="shared" ref="K35:K43" si="39">(I35^2+J35^2)&gt;=1</f>
        <v>0</v>
      </c>
      <c r="L35" s="40" t="b">
        <f>(I35^2+J35^2)&lt;=control!$B$2^2</f>
        <v>1</v>
      </c>
      <c r="M35" s="40">
        <f>ASIN(SQRT(I35^2+J35^2)/control!$B$3)/PI()*180</f>
        <v>18.384514627439579</v>
      </c>
      <c r="N35" s="40">
        <f t="shared" si="34"/>
        <v>18.435707510087717</v>
      </c>
      <c r="O35" s="2">
        <f t="shared" si="35"/>
        <v>-71.564292489912305</v>
      </c>
      <c r="P35" s="40">
        <f t="shared" si="29"/>
        <v>-1.0132936552997514</v>
      </c>
      <c r="Q35" s="40">
        <f t="shared" si="30"/>
        <v>9.9739850438905847E-2</v>
      </c>
      <c r="R35" s="40" t="b">
        <f t="shared" ref="R35:R43" si="40">(P35^2+Q35^2)&gt;=1</f>
        <v>1</v>
      </c>
      <c r="S35" s="40" t="b">
        <f>(P35^2+Q35^2)&lt;=control!$B$2^2</f>
        <v>1</v>
      </c>
      <c r="T35" s="40">
        <f>ASIN(SQRT(P35^2+Q35^2)/control!$B$2)/PI()*180</f>
        <v>30.603586439508867</v>
      </c>
      <c r="U35" s="40">
        <f t="shared" si="36"/>
        <v>174.37840843877279</v>
      </c>
      <c r="V35" s="2">
        <f t="shared" si="8"/>
        <v>5.6215915612272038</v>
      </c>
      <c r="W35" s="1">
        <f t="shared" si="31"/>
        <v>0.29920634470024865</v>
      </c>
      <c r="X35" s="40">
        <f t="shared" si="32"/>
        <v>1.4122398504389062</v>
      </c>
      <c r="Y35" s="40" t="b">
        <f t="shared" ref="Y35:Y43" si="41">(W35^2+X35^2)&gt;=1</f>
        <v>1</v>
      </c>
      <c r="Z35" s="40" t="b">
        <f>(W35^2+X35^2)&lt;=control!$B$2^2</f>
        <v>1</v>
      </c>
      <c r="AA35" s="40">
        <f>ASIN(SQRT(W35^2+X35^2)/control!$B$2)/PI()*180</f>
        <v>46.202788808991606</v>
      </c>
      <c r="AB35" s="40">
        <f t="shared" si="37"/>
        <v>78.037832640365778</v>
      </c>
      <c r="AC35" s="2">
        <f t="shared" si="38"/>
        <v>11.962167359634229</v>
      </c>
      <c r="AD35" s="1">
        <f t="shared" si="33"/>
        <v>0.29920634470024871</v>
      </c>
      <c r="AE35" s="40">
        <f>X35+$AE$4</f>
        <v>9.9739850438906208E-2</v>
      </c>
      <c r="AF35" s="40" t="b">
        <f t="shared" ref="AF35:AF43" si="42">(AD35^2+AE35^2)&gt;=1</f>
        <v>0</v>
      </c>
      <c r="AG35" s="40" t="b">
        <f>(AD35^2+AE35^2)&lt;=control!$B$2^2</f>
        <v>1</v>
      </c>
      <c r="AH35" s="40">
        <f>ASIN(SQRT(AD35^2+AE35^2)/control!$B$3)/PI()*180</f>
        <v>18.384514627439586</v>
      </c>
      <c r="AI35" s="40">
        <f>ATAN2(AD35,AE35)/PI()*180</f>
        <v>18.435707510087745</v>
      </c>
      <c r="AJ35" s="2">
        <f>ASIN((AD35*$AE$58-$AD$58*AE35)/(SQRT(AD35^2+AE35^2)*SQRT($AD$58^2+$AE$58^2)))/PI()*180</f>
        <v>58.047724381120929</v>
      </c>
    </row>
    <row r="36" spans="1:36" x14ac:dyDescent="0.3">
      <c r="A36">
        <v>330</v>
      </c>
      <c r="B36">
        <f>control!$B$3*COS('k2'!A36/180*PI())</f>
        <v>0.86602540378443837</v>
      </c>
      <c r="C36">
        <f>control!$B$3*SIN('k2'!A36/180*PI())</f>
        <v>-0.50000000000000044</v>
      </c>
      <c r="D36">
        <v>330</v>
      </c>
      <c r="E36">
        <f>control!$B$2*COS('k2'!D36/180*PI())</f>
        <v>1.7320508075688767</v>
      </c>
      <c r="F36">
        <f>control!$B$2*SIN('k2'!D36/180*PI())</f>
        <v>-1.0000000000000009</v>
      </c>
      <c r="G36" s="1">
        <v>0.4</v>
      </c>
      <c r="H36">
        <f>G36*control!$C$9/2+control!$C$8</f>
        <v>4</v>
      </c>
      <c r="I36" s="1">
        <f>control!$B$3*TAN('k2'!$H$32/180*PI())/SQRT(1+TAN('k2'!$H$32/180*PI())^2+TAN('k2'!H36/180*PI())^2)</f>
        <v>0.30003931119635729</v>
      </c>
      <c r="J36" s="40">
        <f>control!$B$3*TAN('k2'!H36/180*PI())/SQRT(1+TAN('k2'!$H$32/180*PI())^2+TAN('k2'!H36/180*PI())^2)</f>
        <v>6.6542572409755835E-2</v>
      </c>
      <c r="K36" s="40" t="b">
        <f t="shared" si="39"/>
        <v>0</v>
      </c>
      <c r="L36" s="40" t="b">
        <f>(I36^2+J36^2)&lt;=control!$B$2^2</f>
        <v>1</v>
      </c>
      <c r="M36" s="40">
        <f>ASIN(SQRT(I36^2+J36^2)/control!$B$3)/PI()*180</f>
        <v>17.898375135585169</v>
      </c>
      <c r="N36" s="40">
        <f t="shared" si="34"/>
        <v>12.50463375545989</v>
      </c>
      <c r="O36" s="2">
        <f t="shared" si="35"/>
        <v>-77.495366244540094</v>
      </c>
      <c r="P36" s="40">
        <f t="shared" si="29"/>
        <v>-1.0124606888036427</v>
      </c>
      <c r="Q36" s="40">
        <f t="shared" si="30"/>
        <v>6.6542572409755668E-2</v>
      </c>
      <c r="R36" s="40" t="b">
        <f t="shared" si="40"/>
        <v>1</v>
      </c>
      <c r="S36" s="40" t="b">
        <f>(P36^2+Q36^2)&lt;=control!$B$2^2</f>
        <v>1</v>
      </c>
      <c r="T36" s="40">
        <f>ASIN(SQRT(P36^2+Q36^2)/control!$B$2)/PI()*180</f>
        <v>30.485648194062822</v>
      </c>
      <c r="U36" s="40">
        <f t="shared" si="36"/>
        <v>176.23972254522809</v>
      </c>
      <c r="V36" s="2">
        <f t="shared" si="8"/>
        <v>3.7602774547719293</v>
      </c>
      <c r="W36" s="1">
        <f t="shared" si="31"/>
        <v>0.30003931119635729</v>
      </c>
      <c r="X36" s="40">
        <f t="shared" si="32"/>
        <v>1.3790425724097561</v>
      </c>
      <c r="Y36" s="40" t="b">
        <f t="shared" si="41"/>
        <v>1</v>
      </c>
      <c r="Z36" s="40" t="b">
        <f>(W36^2+X36^2)&lt;=control!$B$2^2</f>
        <v>1</v>
      </c>
      <c r="AA36" s="40">
        <f>ASIN(SQRT(W36^2+X36^2)/control!$B$2)/PI()*180</f>
        <v>44.882285558235907</v>
      </c>
      <c r="AB36" s="40">
        <f t="shared" si="37"/>
        <v>77.72540974245257</v>
      </c>
      <c r="AC36" s="2">
        <f t="shared" si="38"/>
        <v>12.274590257547437</v>
      </c>
      <c r="AD36" s="1">
        <f t="shared" si="33"/>
        <v>0.30003931119635735</v>
      </c>
      <c r="AE36" s="40">
        <f>X36+$AE$4</f>
        <v>6.654257240975614E-2</v>
      </c>
      <c r="AF36" s="40" t="b">
        <f t="shared" si="42"/>
        <v>0</v>
      </c>
      <c r="AG36" s="40" t="b">
        <f>(AD36^2+AE36^2)&lt;=control!$B$2^2</f>
        <v>1</v>
      </c>
      <c r="AH36" s="40">
        <f>ASIN(SQRT(AD36^2+AE36^2)/control!$B$3)/PI()*180</f>
        <v>17.898375135585177</v>
      </c>
      <c r="AI36" s="40">
        <f>ATAN2(AD36,AE36)/PI()*180</f>
        <v>12.504633755459944</v>
      </c>
      <c r="AJ36" s="2">
        <f>ASIN((AD36*$AE$58-$AD$58*AE36)/(SQRT(AD36^2+AE36^2)*SQRT($AD$58^2+$AE$58^2)))/PI()*180</f>
        <v>63.978798135748718</v>
      </c>
    </row>
    <row r="37" spans="1:36" x14ac:dyDescent="0.3">
      <c r="A37">
        <v>340</v>
      </c>
      <c r="B37">
        <f>control!$B$3*COS('k2'!A37/180*PI())</f>
        <v>0.93969262078590809</v>
      </c>
      <c r="C37">
        <f>control!$B$3*SIN('k2'!A37/180*PI())</f>
        <v>-0.34202014332566943</v>
      </c>
      <c r="D37">
        <v>340</v>
      </c>
      <c r="E37">
        <f>control!$B$2*COS('k2'!D37/180*PI())</f>
        <v>1.8793852415718162</v>
      </c>
      <c r="F37">
        <f>control!$B$2*SIN('k2'!D37/180*PI())</f>
        <v>-0.68404028665133887</v>
      </c>
      <c r="G37" s="1">
        <v>0.2</v>
      </c>
      <c r="H37">
        <f>G37*control!$C$9/2+control!$C$8</f>
        <v>2</v>
      </c>
      <c r="I37" s="1">
        <f>control!$B$3*TAN('k2'!$H$32/180*PI())/SQRT(1+TAN('k2'!$H$32/180*PI())^2+TAN('k2'!H37/180*PI())^2)</f>
        <v>0.30053916792201169</v>
      </c>
      <c r="J37" s="40">
        <f>control!$B$3*TAN('k2'!H37/180*PI())/SQRT(1+TAN('k2'!$H$32/180*PI())^2+TAN('k2'!H37/180*PI())^2)</f>
        <v>3.3286074594705777E-2</v>
      </c>
      <c r="K37" s="40" t="b">
        <f t="shared" si="39"/>
        <v>0</v>
      </c>
      <c r="L37" s="40" t="b">
        <f>(I37^2+J37^2)&lt;=control!$B$2^2</f>
        <v>1</v>
      </c>
      <c r="M37" s="40">
        <f>ASIN(SQRT(I37^2+J37^2)/control!$B$3)/PI()*180</f>
        <v>17.600417800510527</v>
      </c>
      <c r="N37" s="40">
        <f t="shared" si="34"/>
        <v>6.3200095751478091</v>
      </c>
      <c r="O37" s="2">
        <f t="shared" si="35"/>
        <v>-83.679990424852178</v>
      </c>
      <c r="P37" s="40">
        <f t="shared" si="29"/>
        <v>-1.0119608320779883</v>
      </c>
      <c r="Q37" s="40">
        <f t="shared" si="30"/>
        <v>3.3286074594705617E-2</v>
      </c>
      <c r="R37" s="40" t="b">
        <f t="shared" si="40"/>
        <v>1</v>
      </c>
      <c r="S37" s="40" t="b">
        <f>(P37^2+Q37^2)&lt;=control!$B$2^2</f>
        <v>1</v>
      </c>
      <c r="T37" s="40">
        <f>ASIN(SQRT(P37^2+Q37^2)/control!$B$2)/PI()*180</f>
        <v>30.414635019502963</v>
      </c>
      <c r="U37" s="40">
        <f t="shared" si="36"/>
        <v>178.11606914292983</v>
      </c>
      <c r="V37" s="2">
        <f t="shared" si="8"/>
        <v>1.8839308570701763</v>
      </c>
      <c r="W37" s="1">
        <f t="shared" si="31"/>
        <v>0.30053916792201174</v>
      </c>
      <c r="X37" s="40">
        <f t="shared" si="32"/>
        <v>1.3457860745947061</v>
      </c>
      <c r="Y37" s="40" t="b">
        <f t="shared" si="41"/>
        <v>1</v>
      </c>
      <c r="Z37" s="40" t="b">
        <f>(W37^2+X37^2)&lt;=control!$B$2^2</f>
        <v>1</v>
      </c>
      <c r="AA37" s="40">
        <f>ASIN(SQRT(W37^2+X37^2)/control!$B$2)/PI()*180</f>
        <v>43.588003426105189</v>
      </c>
      <c r="AB37" s="40">
        <f t="shared" si="37"/>
        <v>77.411340228812463</v>
      </c>
      <c r="AC37" s="2">
        <f t="shared" si="38"/>
        <v>12.588659771187539</v>
      </c>
      <c r="AD37" s="1">
        <f t="shared" si="33"/>
        <v>0.3005391679220118</v>
      </c>
      <c r="AE37" s="40">
        <f>X37+$AE$4</f>
        <v>3.3286074594706117E-2</v>
      </c>
      <c r="AF37" s="40" t="b">
        <f t="shared" si="42"/>
        <v>0</v>
      </c>
      <c r="AG37" s="40" t="b">
        <f>(AD37^2+AE37^2)&lt;=control!$B$2^2</f>
        <v>1</v>
      </c>
      <c r="AH37" s="40">
        <f>ASIN(SQRT(AD37^2+AE37^2)/control!$B$3)/PI()*180</f>
        <v>17.600417800510538</v>
      </c>
      <c r="AI37" s="40">
        <f>ATAN2(AD37,AE37)/PI()*180</f>
        <v>6.3200095751478704</v>
      </c>
      <c r="AJ37" s="2">
        <f>ASIN((AD37*$AE$58-$AD$58*AE37)/(SQRT(AD37^2+AE37^2)*SQRT($AD$58^2+$AE$58^2)))/PI()*180</f>
        <v>70.163422316060817</v>
      </c>
    </row>
    <row r="38" spans="1:36" x14ac:dyDescent="0.3">
      <c r="A38">
        <v>350</v>
      </c>
      <c r="B38">
        <f>control!$B$3*COS('k2'!A38/180*PI())</f>
        <v>0.98480775301220802</v>
      </c>
      <c r="C38">
        <f>control!$B$3*SIN('k2'!A38/180*PI())</f>
        <v>-0.17364817766693039</v>
      </c>
      <c r="D38">
        <v>350</v>
      </c>
      <c r="E38">
        <f>control!$B$2*COS('k2'!D38/180*PI())</f>
        <v>1.969615506024416</v>
      </c>
      <c r="F38">
        <f>control!$B$2*SIN('k2'!D38/180*PI())</f>
        <v>-0.34729635533386077</v>
      </c>
      <c r="G38" s="1">
        <v>0</v>
      </c>
      <c r="H38">
        <f>G38*control!$C$9/2+control!$C$8</f>
        <v>0</v>
      </c>
      <c r="I38" s="1">
        <f>control!$B$3*TAN('k2'!$H$32/180*PI())/SQRT(1+TAN('k2'!$H$32/180*PI())^2+TAN('k2'!H38/180*PI())^2)</f>
        <v>0.30070579950427312</v>
      </c>
      <c r="J38" s="40">
        <f>control!$B$3*TAN('k2'!H38/180*PI())/SQRT(1+TAN('k2'!$H$32/180*PI())^2+TAN('k2'!H38/180*PI())^2)</f>
        <v>0</v>
      </c>
      <c r="K38" s="40" t="b">
        <f t="shared" si="39"/>
        <v>0</v>
      </c>
      <c r="L38" s="40" t="b">
        <f>(I38^2+J38^2)&lt;=control!$B$2^2</f>
        <v>1</v>
      </c>
      <c r="M38" s="40">
        <f>ASIN(SQRT(I38^2+J38^2)/control!$B$3)/PI()*180</f>
        <v>17.5</v>
      </c>
      <c r="N38" s="40">
        <f t="shared" si="34"/>
        <v>0</v>
      </c>
      <c r="O38" s="2">
        <f t="shared" si="35"/>
        <v>-90</v>
      </c>
      <c r="P38" s="40">
        <f t="shared" si="29"/>
        <v>-1.0117942004957268</v>
      </c>
      <c r="Q38" s="40">
        <f t="shared" si="30"/>
        <v>-1.6080073470675638E-16</v>
      </c>
      <c r="R38" s="40" t="b">
        <f t="shared" si="40"/>
        <v>1</v>
      </c>
      <c r="S38" s="40" t="b">
        <f>(P38^2+Q38^2)&lt;=control!$B$2^2</f>
        <v>1</v>
      </c>
      <c r="T38" s="40">
        <f>ASIN(SQRT(P38^2+Q38^2)/control!$B$2)/PI()*180</f>
        <v>30.390921999797548</v>
      </c>
      <c r="U38" s="40">
        <f t="shared" si="36"/>
        <v>-180</v>
      </c>
      <c r="V38" s="2">
        <f t="shared" si="8"/>
        <v>-1.9461175273429439E-15</v>
      </c>
      <c r="W38" s="1">
        <f t="shared" si="31"/>
        <v>0.30070579950427323</v>
      </c>
      <c r="X38" s="40">
        <f t="shared" si="32"/>
        <v>1.3125000000000002</v>
      </c>
      <c r="Y38" s="40" t="b">
        <f t="shared" si="41"/>
        <v>1</v>
      </c>
      <c r="Z38" s="40" t="b">
        <f>(W38^2+X38^2)&lt;=control!$B$2^2</f>
        <v>1</v>
      </c>
      <c r="AA38" s="40">
        <f>ASIN(SQRT(W38^2+X38^2)/control!$B$2)/PI()*180</f>
        <v>42.318658308003293</v>
      </c>
      <c r="AB38" s="40">
        <f t="shared" si="37"/>
        <v>77.095720732386923</v>
      </c>
      <c r="AC38" s="2">
        <f t="shared" si="38"/>
        <v>12.904279267613081</v>
      </c>
      <c r="AD38" s="1">
        <f t="shared" si="33"/>
        <v>0.30070579950427329</v>
      </c>
      <c r="AE38" s="40">
        <f>X38+$AE$4</f>
        <v>0</v>
      </c>
      <c r="AF38" s="40" t="b">
        <f t="shared" si="42"/>
        <v>0</v>
      </c>
      <c r="AG38" s="40" t="b">
        <f>(AD38^2+AE38^2)&lt;=control!$B$2^2</f>
        <v>1</v>
      </c>
      <c r="AH38" s="40">
        <f>ASIN(SQRT(AD38^2+AE38^2)/control!$B$3)/PI()*180</f>
        <v>17.500000000000007</v>
      </c>
      <c r="AI38" s="40">
        <f>ATAN2(AD38,AE38)/PI()*180</f>
        <v>0</v>
      </c>
      <c r="AJ38" s="2">
        <f>ASIN((AD38*$AE$58-$AD$58*AE38)/(SQRT(AD38^2+AE38^2)*SQRT($AD$58^2+$AE$58^2)))/PI()*180</f>
        <v>76.483431891208653</v>
      </c>
    </row>
    <row r="39" spans="1:36" x14ac:dyDescent="0.3">
      <c r="A39">
        <v>360</v>
      </c>
      <c r="B39">
        <f>control!$B$3*COS('k2'!A39/180*PI())</f>
        <v>1</v>
      </c>
      <c r="C39">
        <f>control!$B$3*SIN('k2'!A39/180*PI())</f>
        <v>-2.45029690981724E-16</v>
      </c>
      <c r="D39">
        <v>360</v>
      </c>
      <c r="E39">
        <f>control!$B$2*COS('k2'!D39/180*PI())</f>
        <v>2</v>
      </c>
      <c r="F39">
        <f>control!$B$2*SIN('k2'!D39/180*PI())</f>
        <v>-4.90059381963448E-16</v>
      </c>
      <c r="G39" s="1">
        <v>-0.2</v>
      </c>
      <c r="H39">
        <f>G39*control!$C$9/2+control!$C$8</f>
        <v>-2</v>
      </c>
      <c r="I39" s="1">
        <f>control!$B$3*TAN('k2'!$H$32/180*PI())/SQRT(1+TAN('k2'!$H$32/180*PI())^2+TAN('k2'!H39/180*PI())^2)</f>
        <v>0.30053916792201169</v>
      </c>
      <c r="J39" s="40">
        <f>control!$B$3*TAN('k2'!H39/180*PI())/SQRT(1+TAN('k2'!$H$32/180*PI())^2+TAN('k2'!H39/180*PI())^2)</f>
        <v>-3.3286074594705777E-2</v>
      </c>
      <c r="K39" s="40" t="b">
        <f t="shared" si="39"/>
        <v>0</v>
      </c>
      <c r="L39" s="40" t="b">
        <f>(I39^2+J39^2)&lt;=control!$B$2^2</f>
        <v>1</v>
      </c>
      <c r="M39" s="40">
        <f>ASIN(SQRT(I39^2+J39^2)/control!$B$3)/PI()*180</f>
        <v>17.600417800510527</v>
      </c>
      <c r="N39" s="40">
        <f t="shared" si="34"/>
        <v>-6.3200095751478091</v>
      </c>
      <c r="O39" s="2">
        <f t="shared" si="35"/>
        <v>-83.679990424852178</v>
      </c>
      <c r="P39" s="40">
        <f t="shared" si="29"/>
        <v>-1.0119608320779883</v>
      </c>
      <c r="Q39" s="40">
        <f t="shared" si="30"/>
        <v>-3.3286074594705936E-2</v>
      </c>
      <c r="R39" s="40" t="b">
        <f t="shared" si="40"/>
        <v>1</v>
      </c>
      <c r="S39" s="40" t="b">
        <f>(P39^2+Q39^2)&lt;=control!$B$2^2</f>
        <v>1</v>
      </c>
      <c r="T39" s="40">
        <f>ASIN(SQRT(P39^2+Q39^2)/control!$B$2)/PI()*180</f>
        <v>30.414635019502963</v>
      </c>
      <c r="U39" s="40">
        <f t="shared" si="36"/>
        <v>-178.11606914292983</v>
      </c>
      <c r="V39" s="2">
        <f t="shared" si="8"/>
        <v>-1.8839308570701805</v>
      </c>
      <c r="W39" s="1">
        <f t="shared" si="31"/>
        <v>0.30053916792201174</v>
      </c>
      <c r="X39" s="40">
        <f t="shared" si="32"/>
        <v>1.2792139254052945</v>
      </c>
      <c r="Y39" s="40" t="b">
        <f t="shared" si="41"/>
        <v>1</v>
      </c>
      <c r="Z39" s="40" t="b">
        <f>(W39^2+X39^2)&lt;=control!$B$2^2</f>
        <v>1</v>
      </c>
      <c r="AA39" s="40">
        <f>ASIN(SQRT(W39^2+X39^2)/control!$B$2)/PI()*180</f>
        <v>41.073153244473851</v>
      </c>
      <c r="AB39" s="40">
        <f t="shared" si="37"/>
        <v>76.778679166478</v>
      </c>
      <c r="AC39" s="2">
        <f t="shared" si="38"/>
        <v>13.221320833522013</v>
      </c>
      <c r="AD39" s="1">
        <f t="shared" si="33"/>
        <v>0.3005391679220118</v>
      </c>
      <c r="AE39" s="40">
        <f>X39+$AE$4</f>
        <v>-3.328607459470545E-2</v>
      </c>
      <c r="AF39" s="40" t="b">
        <f t="shared" si="42"/>
        <v>0</v>
      </c>
      <c r="AG39" s="40" t="b">
        <f>(AD39^2+AE39^2)&lt;=control!$B$2^2</f>
        <v>1</v>
      </c>
      <c r="AH39" s="40">
        <f>ASIN(SQRT(AD39^2+AE39^2)/control!$B$3)/PI()*180</f>
        <v>17.600417800510531</v>
      </c>
      <c r="AI39" s="40">
        <f>ATAN2(AD39,AE39)/PI()*180</f>
        <v>-6.3200095751477452</v>
      </c>
      <c r="AJ39" s="2">
        <f>ASIN((AD39*$AE$58-$AD$58*AE39)/(SQRT(AD39^2+AE39^2)*SQRT($AD$58^2+$AE$58^2)))/PI()*180</f>
        <v>82.803441466356389</v>
      </c>
    </row>
    <row r="40" spans="1:36" x14ac:dyDescent="0.3">
      <c r="G40" s="1">
        <v>-0.4</v>
      </c>
      <c r="H40">
        <f>G40*control!$C$9/2+control!$C$8</f>
        <v>-4</v>
      </c>
      <c r="I40" s="1">
        <f>control!$B$3*TAN('k2'!$H$32/180*PI())/SQRT(1+TAN('k2'!$H$32/180*PI())^2+TAN('k2'!H40/180*PI())^2)</f>
        <v>0.30003931119635729</v>
      </c>
      <c r="J40" s="40">
        <f>control!$B$3*TAN('k2'!H40/180*PI())/SQRT(1+TAN('k2'!$H$32/180*PI())^2+TAN('k2'!H40/180*PI())^2)</f>
        <v>-6.6542572409755835E-2</v>
      </c>
      <c r="K40" s="40" t="b">
        <f t="shared" si="39"/>
        <v>0</v>
      </c>
      <c r="L40" s="40" t="b">
        <f>(I40^2+J40^2)&lt;=control!$B$2^2</f>
        <v>1</v>
      </c>
      <c r="M40" s="40">
        <f>ASIN(SQRT(I40^2+J40^2)/control!$B$3)/PI()*180</f>
        <v>17.898375135585169</v>
      </c>
      <c r="N40" s="40">
        <f t="shared" si="34"/>
        <v>-12.50463375545989</v>
      </c>
      <c r="O40" s="2">
        <f t="shared" si="35"/>
        <v>-77.495366244540094</v>
      </c>
      <c r="P40" s="40">
        <f t="shared" si="29"/>
        <v>-1.0124606888036427</v>
      </c>
      <c r="Q40" s="40">
        <f t="shared" si="30"/>
        <v>-6.6542572409756001E-2</v>
      </c>
      <c r="R40" s="40" t="b">
        <f t="shared" si="40"/>
        <v>1</v>
      </c>
      <c r="S40" s="40" t="b">
        <f>(P40^2+Q40^2)&lt;=control!$B$2^2</f>
        <v>1</v>
      </c>
      <c r="T40" s="40">
        <f>ASIN(SQRT(P40^2+Q40^2)/control!$B$2)/PI()*180</f>
        <v>30.485648194062822</v>
      </c>
      <c r="U40" s="40">
        <f t="shared" si="36"/>
        <v>-176.23972254522806</v>
      </c>
      <c r="V40" s="2">
        <f t="shared" si="8"/>
        <v>-3.7602774547719333</v>
      </c>
      <c r="W40" s="1">
        <f t="shared" si="31"/>
        <v>0.30003931119635729</v>
      </c>
      <c r="X40" s="40">
        <f t="shared" si="32"/>
        <v>1.2459574275902445</v>
      </c>
      <c r="Y40" s="40" t="b">
        <f t="shared" si="41"/>
        <v>1</v>
      </c>
      <c r="Z40" s="40" t="b">
        <f>(W40^2+X40^2)&lt;=control!$B$2^2</f>
        <v>1</v>
      </c>
      <c r="AA40" s="40">
        <f>ASIN(SQRT(W40^2+X40^2)/control!$B$2)/PI()*180</f>
        <v>39.850552203049119</v>
      </c>
      <c r="AB40" s="40">
        <f t="shared" si="37"/>
        <v>76.460379640574686</v>
      </c>
      <c r="AC40" s="2">
        <f t="shared" si="38"/>
        <v>13.539620359425324</v>
      </c>
      <c r="AD40" s="1">
        <f t="shared" si="33"/>
        <v>0.30003931119635735</v>
      </c>
      <c r="AE40" s="40">
        <f>X40+$AE$4</f>
        <v>-6.6542572409755474E-2</v>
      </c>
      <c r="AF40" s="40" t="b">
        <f t="shared" si="42"/>
        <v>0</v>
      </c>
      <c r="AG40" s="40" t="b">
        <f>(AD40^2+AE40^2)&lt;=control!$B$2^2</f>
        <v>1</v>
      </c>
      <c r="AH40" s="40">
        <f>ASIN(SQRT(AD40^2+AE40^2)/control!$B$3)/PI()*180</f>
        <v>17.898375135585166</v>
      </c>
      <c r="AI40" s="40">
        <f>ATAN2(AD40,AE40)/PI()*180</f>
        <v>-12.504633755459823</v>
      </c>
      <c r="AJ40" s="2">
        <f>ASIN((AD40*$AE$58-$AD$58*AE40)/(SQRT(AD40^2+AE40^2)*SQRT($AD$58^2+$AE$58^2)))/PI()*180</f>
        <v>88.988065646668005</v>
      </c>
    </row>
    <row r="41" spans="1:36" x14ac:dyDescent="0.3">
      <c r="G41" s="1">
        <v>-0.6</v>
      </c>
      <c r="H41">
        <f>G41*control!$C$9/2+control!$C$8</f>
        <v>-6</v>
      </c>
      <c r="I41" s="1">
        <f>control!$B$3*TAN('k2'!$H$32/180*PI())/SQRT(1+TAN('k2'!$H$32/180*PI())^2+TAN('k2'!H41/180*PI())^2)</f>
        <v>0.29920634470024859</v>
      </c>
      <c r="J41" s="40">
        <f>control!$B$3*TAN('k2'!H41/180*PI())/SQRT(1+TAN('k2'!$H$32/180*PI())^2+TAN('k2'!H41/180*PI())^2)</f>
        <v>-9.9739850438906014E-2</v>
      </c>
      <c r="K41" s="40" t="b">
        <f t="shared" si="39"/>
        <v>0</v>
      </c>
      <c r="L41" s="40" t="b">
        <f>(I41^2+J41^2)&lt;=control!$B$2^2</f>
        <v>1</v>
      </c>
      <c r="M41" s="40">
        <f>ASIN(SQRT(I41^2+J41^2)/control!$B$3)/PI()*180</f>
        <v>18.384514627439579</v>
      </c>
      <c r="N41" s="40">
        <f t="shared" si="34"/>
        <v>-18.435707510087717</v>
      </c>
      <c r="O41" s="2">
        <f t="shared" si="35"/>
        <v>-71.564292489912305</v>
      </c>
      <c r="P41" s="40">
        <f t="shared" si="29"/>
        <v>-1.0132936552997514</v>
      </c>
      <c r="Q41" s="40">
        <f t="shared" si="30"/>
        <v>-9.973985043890618E-2</v>
      </c>
      <c r="R41" s="40" t="b">
        <f t="shared" si="40"/>
        <v>1</v>
      </c>
      <c r="S41" s="40" t="b">
        <f>(P41^2+Q41^2)&lt;=control!$B$2^2</f>
        <v>1</v>
      </c>
      <c r="T41" s="40">
        <f>ASIN(SQRT(P41^2+Q41^2)/control!$B$2)/PI()*180</f>
        <v>30.603586439508867</v>
      </c>
      <c r="U41" s="40">
        <f t="shared" si="36"/>
        <v>-174.37840843877279</v>
      </c>
      <c r="V41" s="2">
        <f t="shared" si="8"/>
        <v>-5.6215915612272074</v>
      </c>
      <c r="W41" s="1">
        <f t="shared" si="31"/>
        <v>0.29920634470024865</v>
      </c>
      <c r="X41" s="40">
        <f t="shared" si="32"/>
        <v>1.2127601495610942</v>
      </c>
      <c r="Y41" s="40" t="b">
        <f t="shared" si="41"/>
        <v>1</v>
      </c>
      <c r="Z41" s="40" t="b">
        <f>(W41^2+X41^2)&lt;=control!$B$2^2</f>
        <v>1</v>
      </c>
      <c r="AA41" s="40">
        <f>ASIN(SQRT(W41^2+X41^2)/control!$B$2)/PI()*180</f>
        <v>38.650059111191112</v>
      </c>
      <c r="AB41" s="40">
        <f t="shared" si="37"/>
        <v>76.141028070489014</v>
      </c>
      <c r="AC41" s="2">
        <f t="shared" si="38"/>
        <v>13.858971929510975</v>
      </c>
      <c r="AD41" s="1">
        <f t="shared" si="33"/>
        <v>0.29920634470024871</v>
      </c>
      <c r="AE41" s="40">
        <f>X41+$AE$4</f>
        <v>-9.9739850438905764E-2</v>
      </c>
      <c r="AF41" s="40" t="b">
        <f t="shared" si="42"/>
        <v>0</v>
      </c>
      <c r="AG41" s="40" t="b">
        <f>(AD41^2+AE41^2)&lt;=control!$B$2^2</f>
        <v>1</v>
      </c>
      <c r="AH41" s="40">
        <f>ASIN(SQRT(AD41^2+AE41^2)/control!$B$3)/PI()*180</f>
        <v>18.384514627439582</v>
      </c>
      <c r="AI41" s="40">
        <f>ATAN2(AD41,AE41)/PI()*180</f>
        <v>-18.435707510087671</v>
      </c>
      <c r="AJ41" s="2">
        <f>ASIN((AD41*$AE$58-$AD$58*AE41)/(SQRT(AD41^2+AE41^2)*SQRT($AD$58^2+$AE$58^2)))/PI()*180</f>
        <v>85.080860598703538</v>
      </c>
    </row>
    <row r="42" spans="1:36" x14ac:dyDescent="0.3">
      <c r="G42" s="1">
        <v>-0.8</v>
      </c>
      <c r="H42">
        <f>G42*control!$C$9/2+control!$C$8</f>
        <v>-8</v>
      </c>
      <c r="I42" s="1">
        <f>control!$B$3*TAN('k2'!$H$32/180*PI())/SQRT(1+TAN('k2'!$H$32/180*PI())^2+TAN('k2'!H42/180*PI())^2)</f>
        <v>0.29804046508194998</v>
      </c>
      <c r="J42" s="40">
        <f>control!$B$3*TAN('k2'!H42/180*PI())/SQRT(1+TAN('k2'!$H$32/180*PI())^2+TAN('k2'!H42/180*PI())^2)</f>
        <v>-0.13284813394504671</v>
      </c>
      <c r="K42" s="40" t="b">
        <f t="shared" si="39"/>
        <v>0</v>
      </c>
      <c r="L42" s="40" t="b">
        <f>(I42^2+J42^2)&lt;=control!$B$2^2</f>
        <v>1</v>
      </c>
      <c r="M42" s="40">
        <f>ASIN(SQRT(I42^2+J42^2)/control!$B$3)/PI()*180</f>
        <v>19.044823258221381</v>
      </c>
      <c r="N42" s="40">
        <f t="shared" si="34"/>
        <v>-24.024377091132745</v>
      </c>
      <c r="O42" s="2">
        <f t="shared" si="35"/>
        <v>-65.975622908867265</v>
      </c>
      <c r="P42" s="40">
        <f t="shared" si="29"/>
        <v>-1.0144595349180501</v>
      </c>
      <c r="Q42" s="40">
        <f t="shared" si="30"/>
        <v>-0.13284813394504688</v>
      </c>
      <c r="R42" s="40" t="b">
        <f t="shared" si="40"/>
        <v>1</v>
      </c>
      <c r="S42" s="40" t="b">
        <f>(P42^2+Q42^2)&lt;=control!$B$2^2</f>
        <v>1</v>
      </c>
      <c r="T42" s="40">
        <f>ASIN(SQRT(P42^2+Q42^2)/control!$B$2)/PI()*180</f>
        <v>30.767833035383202</v>
      </c>
      <c r="U42" s="40">
        <f t="shared" si="36"/>
        <v>-172.53930935655907</v>
      </c>
      <c r="V42" s="2">
        <f t="shared" si="8"/>
        <v>-7.4606906434409028</v>
      </c>
      <c r="W42" s="1">
        <f t="shared" si="31"/>
        <v>0.29804046508194992</v>
      </c>
      <c r="X42" s="40">
        <f t="shared" si="32"/>
        <v>1.1796518660549535</v>
      </c>
      <c r="Y42" s="40" t="b">
        <f t="shared" si="41"/>
        <v>1</v>
      </c>
      <c r="Z42" s="40" t="b">
        <f>(W42^2+X42^2)&lt;=control!$B$2^2</f>
        <v>1</v>
      </c>
      <c r="AA42" s="40">
        <f>ASIN(SQRT(W42^2+X42^2)/control!$B$2)/PI()*180</f>
        <v>37.471000957334979</v>
      </c>
      <c r="AB42" s="40">
        <f t="shared" si="37"/>
        <v>75.820878578921409</v>
      </c>
      <c r="AC42" s="2">
        <f t="shared" si="38"/>
        <v>14.179121421078591</v>
      </c>
      <c r="AD42" s="1">
        <f t="shared" si="33"/>
        <v>0.29804046508194998</v>
      </c>
      <c r="AE42" s="40">
        <f>X42+$AE$4</f>
        <v>-0.13284813394504646</v>
      </c>
      <c r="AF42" s="40" t="b">
        <f t="shared" si="42"/>
        <v>0</v>
      </c>
      <c r="AG42" s="40" t="b">
        <f>(AD42^2+AE42^2)&lt;=control!$B$2^2</f>
        <v>1</v>
      </c>
      <c r="AH42" s="40">
        <f>ASIN(SQRT(AD42^2+AE42^2)/control!$B$3)/PI()*180</f>
        <v>19.044823258221378</v>
      </c>
      <c r="AI42" s="40">
        <f>ATAN2(AD42,AE42)/PI()*180</f>
        <v>-24.024377091132706</v>
      </c>
      <c r="AJ42" s="2">
        <f>ASIN((AD42*$AE$58-$AD$58*AE42)/(SQRT(AD42^2+AE42^2)*SQRT($AD$58^2+$AE$58^2)))/PI()*180</f>
        <v>79.492191017658627</v>
      </c>
    </row>
    <row r="43" spans="1:36" x14ac:dyDescent="0.3">
      <c r="G43" s="1">
        <v>-1</v>
      </c>
      <c r="H43">
        <f>G43*control!$C$9/2+control!$C$8</f>
        <v>-10</v>
      </c>
      <c r="I43" s="7">
        <f>control!$B$3*TAN('k2'!$H$32/180*PI())/SQRT(1+TAN('k2'!$H$32/180*PI())^2+TAN('k2'!H43/180*PI())^2)</f>
        <v>0.29654195678697232</v>
      </c>
      <c r="J43" s="6">
        <f>control!$B$3*TAN('k2'!H43/180*PI())/SQRT(1+TAN('k2'!$H$32/180*PI())^2+TAN('k2'!H43/180*PI())^2)</f>
        <v>-0.16583745240358658</v>
      </c>
      <c r="K43" s="6" t="b">
        <f t="shared" si="39"/>
        <v>0</v>
      </c>
      <c r="L43" s="6" t="b">
        <f>(I43^2+J43^2)&lt;=control!$B$2^2</f>
        <v>1</v>
      </c>
      <c r="M43" s="6">
        <f>ASIN(SQRT(I43^2+J43^2)/control!$B$3)/PI()*180</f>
        <v>19.862462001023477</v>
      </c>
      <c r="N43" s="6">
        <f t="shared" si="34"/>
        <v>-29.215567559802889</v>
      </c>
      <c r="O43" s="8">
        <f t="shared" si="35"/>
        <v>-60.784432440197115</v>
      </c>
      <c r="P43" s="6">
        <f t="shared" si="29"/>
        <v>-1.0159580432130277</v>
      </c>
      <c r="Q43" s="6">
        <f t="shared" si="30"/>
        <v>-0.16583745240358674</v>
      </c>
      <c r="R43" s="6" t="b">
        <f t="shared" si="40"/>
        <v>1</v>
      </c>
      <c r="S43" s="6" t="b">
        <f>(P43^2+Q43^2)&lt;=control!$B$2^2</f>
        <v>1</v>
      </c>
      <c r="T43" s="6">
        <f>ASIN(SQRT(P43^2+Q43^2)/control!$B$2)/PI()*180</f>
        <v>30.977541756612105</v>
      </c>
      <c r="U43" s="6">
        <f t="shared" si="36"/>
        <v>-170.72922462656473</v>
      </c>
      <c r="V43" s="8">
        <f t="shared" si="8"/>
        <v>-9.270775373435276</v>
      </c>
      <c r="W43" s="7">
        <f t="shared" si="31"/>
        <v>0.29654195678697226</v>
      </c>
      <c r="X43" s="6">
        <f t="shared" si="32"/>
        <v>1.1466625475964136</v>
      </c>
      <c r="Y43" s="6" t="b">
        <f t="shared" si="41"/>
        <v>1</v>
      </c>
      <c r="Z43" s="6" t="b">
        <f>(W43^2+X43^2)&lt;=control!$B$2^2</f>
        <v>1</v>
      </c>
      <c r="AA43" s="6">
        <f>ASIN(SQRT(W43^2+X43^2)/control!$B$2)/PI()*180</f>
        <v>36.312814073616266</v>
      </c>
      <c r="AB43" s="6">
        <f t="shared" si="37"/>
        <v>75.500240794910781</v>
      </c>
      <c r="AC43" s="8">
        <f t="shared" si="38"/>
        <v>14.499759205089219</v>
      </c>
      <c r="AD43" s="7">
        <f t="shared" si="33"/>
        <v>0.29654195678697232</v>
      </c>
      <c r="AE43" s="6">
        <f>X43+$AE$4</f>
        <v>-0.16583745240358638</v>
      </c>
      <c r="AF43" s="6" t="b">
        <f t="shared" si="42"/>
        <v>0</v>
      </c>
      <c r="AG43" s="6" t="b">
        <f>(AD43^2+AE43^2)&lt;=control!$B$2^2</f>
        <v>1</v>
      </c>
      <c r="AH43" s="6">
        <f>ASIN(SQRT(AD43^2+AE43^2)/control!$B$3)/PI()*180</f>
        <v>19.862462001023474</v>
      </c>
      <c r="AI43" s="6">
        <f>ATAN2(AD43,AE43)/PI()*180</f>
        <v>-29.215567559802864</v>
      </c>
      <c r="AJ43" s="8">
        <f>ASIN((AD43*$AE$58-$AD$58*AE43)/(SQRT(AD43^2+AE43^2)*SQRT($AD$58^2+$AE$58^2)))/PI()*180</f>
        <v>74.301000548988455</v>
      </c>
    </row>
    <row r="45" spans="1:36" x14ac:dyDescent="0.3">
      <c r="G45" s="1" t="s">
        <v>15</v>
      </c>
      <c r="H45">
        <v>-1</v>
      </c>
    </row>
    <row r="46" spans="1:36" x14ac:dyDescent="0.3">
      <c r="H46">
        <f>H45*control!$C$9/2+control!$C$8</f>
        <v>-10</v>
      </c>
      <c r="I46" s="7"/>
      <c r="J46" s="6"/>
      <c r="M46" s="6"/>
      <c r="N46" s="6"/>
      <c r="O46" s="8"/>
      <c r="P46" s="6"/>
      <c r="Q46" s="6"/>
      <c r="T46" s="6"/>
      <c r="U46" s="6"/>
      <c r="V46" s="8"/>
      <c r="W46" s="7"/>
      <c r="X46" s="6"/>
      <c r="AA46" s="6"/>
      <c r="AB46" s="6"/>
      <c r="AC46" s="8"/>
      <c r="AD46" s="7"/>
      <c r="AE46" s="6"/>
      <c r="AH46" s="6"/>
      <c r="AI46" s="6"/>
      <c r="AJ46" s="8"/>
    </row>
    <row r="47" spans="1:36" x14ac:dyDescent="0.3">
      <c r="G47" s="1">
        <v>1</v>
      </c>
      <c r="H47">
        <f>G47*control!$B$9/2+control!$B$8</f>
        <v>17.5</v>
      </c>
      <c r="I47" s="1">
        <f>control!$B$3*TAN('k2'!H47/180*PI())/SQRT(1+TAN('k2'!H47/180*PI())^2+TAN('k2'!$H$46/180*PI())^2)</f>
        <v>0.29654195678697232</v>
      </c>
      <c r="J47" s="40">
        <f>control!$B$3*TAN('k2'!$H$46/180*PI())/SQRT(1+TAN('k2'!H47/180*PI())^2+TAN('k2'!$H$46/180*PI())^2)</f>
        <v>-0.16583745240358658</v>
      </c>
      <c r="K47" s="3" t="b">
        <f>(I47^2+J47^2)&gt;=1</f>
        <v>0</v>
      </c>
      <c r="L47" s="3" t="b">
        <f>(I47^2+J47^2)&lt;=control!$B$2^2</f>
        <v>1</v>
      </c>
      <c r="M47" s="40">
        <f>ASIN(SQRT(I47^2+J47^2)/control!$B$3)/PI()*180</f>
        <v>19.862462001023477</v>
      </c>
      <c r="N47" s="40">
        <f>ATAN2(I47,J47)/PI()*180</f>
        <v>-29.215567559802889</v>
      </c>
      <c r="O47" s="5">
        <f>ASIN((I47*$J$58-$I$58*J47)/(SQRT(I47^2+J47^2)*SQRT($I$58^2+$J$58^2)))/PI()*180</f>
        <v>-60.784432440197115</v>
      </c>
      <c r="P47" s="40">
        <f t="shared" ref="P47:P57" si="43">I47+$P$4</f>
        <v>-1.0159580432130277</v>
      </c>
      <c r="Q47" s="40">
        <f t="shared" ref="Q47:Q57" si="44">J47+$Q$4</f>
        <v>-0.16583745240358674</v>
      </c>
      <c r="R47" s="3" t="b">
        <f>(P47^2+Q47^2)&gt;=1</f>
        <v>1</v>
      </c>
      <c r="S47" s="3" t="b">
        <f>(P47^2+Q47^2)&lt;=control!$B$2^2</f>
        <v>1</v>
      </c>
      <c r="T47" s="40">
        <f>ASIN(SQRT(P47^2+Q47^2)/control!$B$2)/PI()*180</f>
        <v>30.977541756612105</v>
      </c>
      <c r="U47" s="40">
        <f>ATAN2(P47,Q47)/PI()*180</f>
        <v>-170.72922462656473</v>
      </c>
      <c r="V47" s="5">
        <f t="shared" ref="V47:V57" si="45">ASIN((P47*$Q$58-$P$58*Q47)/(SQRT(P47^2+Q47^2)*SQRT($P$58^2+$Q$58^2)))/PI()*180</f>
        <v>-9.270775373435276</v>
      </c>
      <c r="W47" s="1">
        <f t="shared" ref="W47:W57" si="46">P47+$W$4</f>
        <v>0.29654195678697226</v>
      </c>
      <c r="X47" s="40">
        <f t="shared" ref="X47:X57" si="47">Q47+$X$4</f>
        <v>1.1466625475964136</v>
      </c>
      <c r="Y47" s="3" t="b">
        <f>(W47^2+X47^2)&gt;=1</f>
        <v>1</v>
      </c>
      <c r="Z47" s="3" t="b">
        <f>(W47^2+X47^2)&lt;=control!$B$2^2</f>
        <v>1</v>
      </c>
      <c r="AA47" s="40">
        <f>ASIN(SQRT(W47^2+X47^2)/control!$B$2)/PI()*180</f>
        <v>36.312814073616266</v>
      </c>
      <c r="AB47" s="40">
        <f>ATAN2(W47,X47)/PI()*180</f>
        <v>75.500240794910781</v>
      </c>
      <c r="AC47" s="5">
        <f>ASIN((W47*$X$58-$W$58*X47)/(SQRT(W47^2+X47^2)*SQRT($W$58^2+$X$58^2)))/PI()*180</f>
        <v>14.499759205089219</v>
      </c>
      <c r="AD47" s="1">
        <f t="shared" ref="AD47:AD57" si="48">W47+$AD$4</f>
        <v>0.29654195678697232</v>
      </c>
      <c r="AE47" s="40">
        <f>X47+$AE$4</f>
        <v>-0.16583745240358638</v>
      </c>
      <c r="AF47" s="3" t="b">
        <f>(AD47^2+AE47^2)&gt;=1</f>
        <v>0</v>
      </c>
      <c r="AG47" s="3" t="b">
        <f>(AD47^2+AE47^2)&lt;=control!$B$2^2</f>
        <v>1</v>
      </c>
      <c r="AH47" s="40">
        <f>ASIN(SQRT(AD47^2+AE47^2)/control!$B$3)/PI()*180</f>
        <v>19.862462001023474</v>
      </c>
      <c r="AI47" s="40">
        <f>ATAN2(AD47,AE47)/PI()*180</f>
        <v>-29.215567559802864</v>
      </c>
      <c r="AJ47" s="5">
        <f>ASIN((AD47*$AE$58-$AD$58*AE47)/(SQRT(AD47^2+AE47^2)*SQRT($AD$58^2+$AE$58^2)))/PI()*180</f>
        <v>74.301000548988455</v>
      </c>
    </row>
    <row r="48" spans="1:36" x14ac:dyDescent="0.3">
      <c r="G48" s="1">
        <v>0.8</v>
      </c>
      <c r="H48">
        <f>G48*control!$B$9/2+control!$B$8</f>
        <v>14</v>
      </c>
      <c r="I48" s="1">
        <f>control!$B$3*TAN('k2'!H48/180*PI())/SQRT(1+TAN('k2'!H48/180*PI())^2+TAN('k2'!$H$46/180*PI())^2)</f>
        <v>0.23845706356958102</v>
      </c>
      <c r="J48" s="40">
        <f>control!$B$3*TAN('k2'!$H$46/180*PI())/SQRT(1+TAN('k2'!H48/180*PI())^2+TAN('k2'!$H$46/180*PI())^2)</f>
        <v>-0.16863895578659316</v>
      </c>
      <c r="K48" s="40" t="b">
        <f>(I48^2+J48^2)&gt;=1</f>
        <v>0</v>
      </c>
      <c r="L48" s="40" t="b">
        <f>(I48^2+J48^2)&lt;=control!$B$2^2</f>
        <v>1</v>
      </c>
      <c r="M48" s="40">
        <f>ASIN(SQRT(I48^2+J48^2)/control!$B$3)/PI()*180</f>
        <v>16.9815127090834</v>
      </c>
      <c r="N48" s="40">
        <f t="shared" ref="N48:N57" si="49">ATAN2(I48,J48)/PI()*180</f>
        <v>-35.2682898519896</v>
      </c>
      <c r="O48" s="2">
        <f t="shared" ref="O48:O57" si="50">ASIN((I48*$J$58-$I$58*J48)/(SQRT(I48^2+J48^2)*SQRT($I$58^2+$J$58^2)))/PI()*180</f>
        <v>-54.731710148010386</v>
      </c>
      <c r="P48" s="40">
        <f t="shared" si="43"/>
        <v>-1.0740429364304189</v>
      </c>
      <c r="Q48" s="40">
        <f t="shared" si="44"/>
        <v>-0.16863895578659333</v>
      </c>
      <c r="R48" s="40" t="b">
        <f>(P48^2+Q48^2)&gt;=1</f>
        <v>1</v>
      </c>
      <c r="S48" s="40" t="b">
        <f>(P48^2+Q48^2)&lt;=control!$B$2^2</f>
        <v>1</v>
      </c>
      <c r="T48" s="40">
        <f>ASIN(SQRT(P48^2+Q48^2)/control!$B$2)/PI()*180</f>
        <v>32.92909909014913</v>
      </c>
      <c r="U48" s="40">
        <f t="shared" ref="U48:U57" si="51">ATAN2(P48,Q48)/PI()*180</f>
        <v>-171.07665787839508</v>
      </c>
      <c r="V48" s="2">
        <f t="shared" si="45"/>
        <v>-8.9233421216048932</v>
      </c>
      <c r="W48" s="1">
        <f t="shared" si="46"/>
        <v>0.23845706356958107</v>
      </c>
      <c r="X48" s="40">
        <f t="shared" si="47"/>
        <v>1.1438610442134072</v>
      </c>
      <c r="Y48" s="40" t="b">
        <f>(W48^2+X48^2)&gt;=1</f>
        <v>1</v>
      </c>
      <c r="Z48" s="40" t="b">
        <f>(W48^2+X48^2)&lt;=control!$B$2^2</f>
        <v>1</v>
      </c>
      <c r="AA48" s="40">
        <f>ASIN(SQRT(W48^2+X48^2)/control!$B$2)/PI()*180</f>
        <v>35.748325989977658</v>
      </c>
      <c r="AB48" s="40">
        <f t="shared" ref="AB48:AB57" si="52">ATAN2(W48,X48)/PI()*180</f>
        <v>78.224381706794418</v>
      </c>
      <c r="AC48" s="2">
        <f t="shared" ref="AC48:AC57" si="53">ASIN((W48*$X$58-$W$58*X48)/(SQRT(W48^2+X48^2)*SQRT($W$58^2+$X$58^2)))/PI()*180</f>
        <v>11.775618293205579</v>
      </c>
      <c r="AD48" s="1">
        <f t="shared" si="48"/>
        <v>0.23845706356958116</v>
      </c>
      <c r="AE48" s="40">
        <f>X48+$AE$4</f>
        <v>-0.16863895578659283</v>
      </c>
      <c r="AF48" s="40" t="b">
        <f>(AD48^2+AE48^2)&gt;=1</f>
        <v>0</v>
      </c>
      <c r="AG48" s="40" t="b">
        <f>(AD48^2+AE48^2)&lt;=control!$B$2^2</f>
        <v>1</v>
      </c>
      <c r="AH48" s="40">
        <f>ASIN(SQRT(AD48^2+AE48^2)/control!$B$3)/PI()*180</f>
        <v>16.981512709083397</v>
      </c>
      <c r="AI48" s="40">
        <f>ATAN2(AD48,AE48)/PI()*180</f>
        <v>-35.268289851989536</v>
      </c>
      <c r="AJ48" s="2">
        <f>ASIN((AD48*$AE$58-$AD$58*AE48)/(SQRT(AD48^2+AE48^2)*SQRT($AD$58^2+$AE$58^2)))/PI()*180</f>
        <v>68.248278256801797</v>
      </c>
    </row>
    <row r="49" spans="7:36" x14ac:dyDescent="0.3">
      <c r="G49" s="1">
        <v>0.6</v>
      </c>
      <c r="H49">
        <f>G49*control!$B$9/2+control!$B$8</f>
        <v>10.5</v>
      </c>
      <c r="I49" s="1">
        <f>control!$B$3*TAN('k2'!H49/180*PI())/SQRT(1+TAN('k2'!H49/180*PI())^2+TAN('k2'!$H$46/180*PI())^2)</f>
        <v>0.1795568848144925</v>
      </c>
      <c r="J49" s="40">
        <f>control!$B$3*TAN('k2'!$H$46/180*PI())/SQRT(1+TAN('k2'!H49/180*PI())^2+TAN('k2'!$H$46/180*PI())^2)</f>
        <v>-0.17082597666591404</v>
      </c>
      <c r="K49" s="40" t="b">
        <f t="shared" ref="K49:K57" si="54">(I49^2+J49^2)&gt;=1</f>
        <v>0</v>
      </c>
      <c r="L49" s="40" t="b">
        <f>(I49^2+J49^2)&lt;=control!$B$2^2</f>
        <v>1</v>
      </c>
      <c r="M49" s="40">
        <f>ASIN(SQRT(I49^2+J49^2)/control!$B$3)/PI()*180</f>
        <v>14.349435774653708</v>
      </c>
      <c r="N49" s="40">
        <f t="shared" si="49"/>
        <v>-43.572588031087093</v>
      </c>
      <c r="O49" s="2">
        <f t="shared" si="50"/>
        <v>-46.427411968912921</v>
      </c>
      <c r="P49" s="40">
        <f t="shared" si="43"/>
        <v>-1.1329431151855074</v>
      </c>
      <c r="Q49" s="40">
        <f t="shared" si="44"/>
        <v>-0.1708259766659142</v>
      </c>
      <c r="R49" s="40" t="b">
        <f t="shared" ref="R49:R57" si="55">(P49^2+Q49^2)&gt;=1</f>
        <v>1</v>
      </c>
      <c r="S49" s="40" t="b">
        <f>(P49^2+Q49^2)&lt;=control!$B$2^2</f>
        <v>1</v>
      </c>
      <c r="T49" s="40">
        <f>ASIN(SQRT(P49^2+Q49^2)/control!$B$2)/PI()*180</f>
        <v>34.950930510856118</v>
      </c>
      <c r="U49" s="40">
        <f t="shared" si="51"/>
        <v>-171.42549186629637</v>
      </c>
      <c r="V49" s="2">
        <f t="shared" si="45"/>
        <v>-8.5745081337036382</v>
      </c>
      <c r="W49" s="1">
        <f t="shared" si="46"/>
        <v>0.17955688481449261</v>
      </c>
      <c r="X49" s="40">
        <f t="shared" si="47"/>
        <v>1.1416740233340863</v>
      </c>
      <c r="Y49" s="40" t="b">
        <f t="shared" ref="Y49:Y57" si="56">(W49^2+X49^2)&gt;=1</f>
        <v>1</v>
      </c>
      <c r="Z49" s="40" t="b">
        <f>(W49^2+X49^2)&lt;=control!$B$2^2</f>
        <v>1</v>
      </c>
      <c r="AA49" s="40">
        <f>ASIN(SQRT(W49^2+X49^2)/control!$B$2)/PI()*180</f>
        <v>35.29973445725232</v>
      </c>
      <c r="AB49" s="40">
        <f t="shared" si="52"/>
        <v>81.062016244440372</v>
      </c>
      <c r="AC49" s="2">
        <f t="shared" si="53"/>
        <v>8.9379837555596318</v>
      </c>
      <c r="AD49" s="1">
        <f t="shared" si="48"/>
        <v>0.1795568848144927</v>
      </c>
      <c r="AE49" s="40">
        <f>X49+$AE$4</f>
        <v>-0.1708259766659137</v>
      </c>
      <c r="AF49" s="40" t="b">
        <f t="shared" ref="AF49:AF57" si="57">(AD49^2+AE49^2)&gt;=1</f>
        <v>0</v>
      </c>
      <c r="AG49" s="40" t="b">
        <f>(AD49^2+AE49^2)&lt;=control!$B$2^2</f>
        <v>1</v>
      </c>
      <c r="AH49" s="40">
        <f>ASIN(SQRT(AD49^2+AE49^2)/control!$B$3)/PI()*180</f>
        <v>14.349435774653703</v>
      </c>
      <c r="AI49" s="40">
        <f>ATAN2(AD49,AE49)/PI()*180</f>
        <v>-43.572588031087008</v>
      </c>
      <c r="AJ49" s="2">
        <f>ASIN((AD49*$AE$58-$AD$58*AE49)/(SQRT(AD49^2+AE49^2)*SQRT($AD$58^2+$AE$58^2)))/PI()*180</f>
        <v>59.943980077704296</v>
      </c>
    </row>
    <row r="50" spans="7:36" x14ac:dyDescent="0.3">
      <c r="G50" s="1">
        <v>0.4</v>
      </c>
      <c r="H50">
        <f>G50*control!$B$9/2+control!$B$8</f>
        <v>7</v>
      </c>
      <c r="I50" s="1">
        <f>control!$B$3*TAN('k2'!H50/180*PI())/SQRT(1+TAN('k2'!H50/180*PI())^2+TAN('k2'!$H$46/180*PI())^2)</f>
        <v>0.12004475807606822</v>
      </c>
      <c r="J50" s="40">
        <f>control!$B$3*TAN('k2'!$H$46/180*PI())/SQRT(1+TAN('k2'!H50/180*PI())^2+TAN('k2'!$H$46/180*PI())^2)</f>
        <v>-0.17239243750010019</v>
      </c>
      <c r="K50" s="40" t="b">
        <f t="shared" si="54"/>
        <v>0</v>
      </c>
      <c r="L50" s="40" t="b">
        <f>(I50^2+J50^2)&lt;=control!$B$2^2</f>
        <v>1</v>
      </c>
      <c r="M50" s="40">
        <f>ASIN(SQRT(I50^2+J50^2)/control!$B$3)/PI()*180</f>
        <v>12.126523017514099</v>
      </c>
      <c r="N50" s="40">
        <f t="shared" si="49"/>
        <v>-55.148736250548993</v>
      </c>
      <c r="O50" s="2">
        <f t="shared" si="50"/>
        <v>-34.851263749451007</v>
      </c>
      <c r="P50" s="40">
        <f t="shared" si="43"/>
        <v>-1.1924552419239318</v>
      </c>
      <c r="Q50" s="40">
        <f t="shared" si="44"/>
        <v>-0.17239243750010036</v>
      </c>
      <c r="R50" s="40" t="b">
        <f t="shared" si="55"/>
        <v>1</v>
      </c>
      <c r="S50" s="40" t="b">
        <f>(P50^2+Q50^2)&lt;=control!$B$2^2</f>
        <v>1</v>
      </c>
      <c r="T50" s="40">
        <f>ASIN(SQRT(P50^2+Q50^2)/control!$B$2)/PI()*180</f>
        <v>37.043850087049762</v>
      </c>
      <c r="U50" s="40">
        <f t="shared" si="51"/>
        <v>-171.77378254204572</v>
      </c>
      <c r="V50" s="2">
        <f t="shared" si="45"/>
        <v>-8.2262174579542737</v>
      </c>
      <c r="W50" s="1">
        <f t="shared" si="46"/>
        <v>0.12004475807606818</v>
      </c>
      <c r="X50" s="40">
        <f t="shared" si="47"/>
        <v>1.1401075624999</v>
      </c>
      <c r="Y50" s="40" t="b">
        <f t="shared" si="56"/>
        <v>1</v>
      </c>
      <c r="Z50" s="40" t="b">
        <f>(W50^2+X50^2)&lt;=control!$B$2^2</f>
        <v>1</v>
      </c>
      <c r="AA50" s="40">
        <f>ASIN(SQRT(W50^2+X50^2)/control!$B$2)/PI()*180</f>
        <v>34.974025596512448</v>
      </c>
      <c r="AB50" s="40">
        <f t="shared" si="52"/>
        <v>83.989332159921091</v>
      </c>
      <c r="AC50" s="2">
        <f t="shared" si="53"/>
        <v>6.0106678400789235</v>
      </c>
      <c r="AD50" s="1">
        <f t="shared" si="48"/>
        <v>0.12004475807606826</v>
      </c>
      <c r="AE50" s="40">
        <f>X50+$AE$4</f>
        <v>-0.17239243750010003</v>
      </c>
      <c r="AF50" s="40" t="b">
        <f t="shared" si="57"/>
        <v>0</v>
      </c>
      <c r="AG50" s="40" t="b">
        <f>(AD50^2+AE50^2)&lt;=control!$B$2^2</f>
        <v>1</v>
      </c>
      <c r="AH50" s="40">
        <f>ASIN(SQRT(AD50^2+AE50^2)/control!$B$3)/PI()*180</f>
        <v>12.126523017514092</v>
      </c>
      <c r="AI50" s="40">
        <f>ATAN2(AD50,AE50)/PI()*180</f>
        <v>-55.148736250548964</v>
      </c>
      <c r="AJ50" s="2">
        <f>ASIN((AD50*$AE$58-$AD$58*AE50)/(SQRT(AD50^2+AE50^2)*SQRT($AD$58^2+$AE$58^2)))/PI()*180</f>
        <v>48.367831858242369</v>
      </c>
    </row>
    <row r="51" spans="7:36" x14ac:dyDescent="0.3">
      <c r="G51" s="1">
        <v>0.2</v>
      </c>
      <c r="H51">
        <f>G51*control!$B$9/2+control!$B$8</f>
        <v>3.5</v>
      </c>
      <c r="I51" s="1">
        <f>control!$B$3*TAN('k2'!H51/180*PI())/SQRT(1+TAN('k2'!H51/180*PI())^2+TAN('k2'!$H$46/180*PI())^2)</f>
        <v>6.0124453547445153E-2</v>
      </c>
      <c r="J51" s="40">
        <f>control!$B$3*TAN('k2'!$H$46/180*PI())/SQRT(1+TAN('k2'!H51/180*PI())^2+TAN('k2'!$H$46/180*PI())^2)</f>
        <v>-0.17333402876925988</v>
      </c>
      <c r="K51" s="40" t="b">
        <f t="shared" si="54"/>
        <v>0</v>
      </c>
      <c r="L51" s="40" t="b">
        <f>(I51^2+J51^2)&lt;=control!$B$2^2</f>
        <v>1</v>
      </c>
      <c r="M51" s="40">
        <f>ASIN(SQRT(I51^2+J51^2)/control!$B$3)/PI()*180</f>
        <v>10.57168810780826</v>
      </c>
      <c r="N51" s="40">
        <f t="shared" si="49"/>
        <v>-70.869850757513078</v>
      </c>
      <c r="O51" s="2">
        <f t="shared" si="50"/>
        <v>-19.130149242486926</v>
      </c>
      <c r="P51" s="40">
        <f t="shared" si="43"/>
        <v>-1.2523755464525548</v>
      </c>
      <c r="Q51" s="40">
        <f t="shared" si="44"/>
        <v>-0.17333402876926005</v>
      </c>
      <c r="R51" s="40" t="b">
        <f t="shared" si="55"/>
        <v>1</v>
      </c>
      <c r="S51" s="40" t="b">
        <f>(P51^2+Q51^2)&lt;=control!$B$2^2</f>
        <v>1</v>
      </c>
      <c r="T51" s="40">
        <f>ASIN(SQRT(P51^2+Q51^2)/control!$B$2)/PI()*180</f>
        <v>39.209431807195415</v>
      </c>
      <c r="U51" s="40">
        <f t="shared" si="51"/>
        <v>-172.12008446839576</v>
      </c>
      <c r="V51" s="2">
        <f t="shared" si="45"/>
        <v>-7.8799155316042269</v>
      </c>
      <c r="W51" s="1">
        <f t="shared" si="46"/>
        <v>6.0124453547445222E-2</v>
      </c>
      <c r="X51" s="40">
        <f t="shared" si="47"/>
        <v>1.1391659712307405</v>
      </c>
      <c r="Y51" s="40" t="b">
        <f t="shared" si="56"/>
        <v>1</v>
      </c>
      <c r="Z51" s="40" t="b">
        <f>(W51^2+X51^2)&lt;=control!$B$2^2</f>
        <v>1</v>
      </c>
      <c r="AA51" s="40">
        <f>ASIN(SQRT(W51^2+X51^2)/control!$B$2)/PI()*180</f>
        <v>34.776433250004303</v>
      </c>
      <c r="AB51" s="40">
        <f t="shared" si="52"/>
        <v>86.978768587883067</v>
      </c>
      <c r="AC51" s="2">
        <f t="shared" si="53"/>
        <v>3.0212314121169253</v>
      </c>
      <c r="AD51" s="1">
        <f t="shared" si="48"/>
        <v>6.0124453547445306E-2</v>
      </c>
      <c r="AE51" s="40">
        <f>X51+$AE$4</f>
        <v>-0.17333402876925952</v>
      </c>
      <c r="AF51" s="40" t="b">
        <f t="shared" si="57"/>
        <v>0</v>
      </c>
      <c r="AG51" s="40" t="b">
        <f>(AD51^2+AE51^2)&lt;=control!$B$2^2</f>
        <v>1</v>
      </c>
      <c r="AH51" s="40">
        <f>ASIN(SQRT(AD51^2+AE51^2)/control!$B$3)/PI()*180</f>
        <v>10.571688107808246</v>
      </c>
      <c r="AI51" s="40">
        <f>ATAN2(AD51,AE51)/PI()*180</f>
        <v>-70.869850757512992</v>
      </c>
      <c r="AJ51" s="2">
        <f>ASIN((AD51*$AE$58-$AD$58*AE51)/(SQRT(AD51^2+AE51^2)*SQRT($AD$58^2+$AE$58^2)))/PI()*180</f>
        <v>32.646717351278312</v>
      </c>
    </row>
    <row r="52" spans="7:36" x14ac:dyDescent="0.3">
      <c r="G52" s="1">
        <v>0</v>
      </c>
      <c r="H52">
        <f>G52*control!$B$9/2+control!$B$8</f>
        <v>0</v>
      </c>
      <c r="I52" s="1">
        <f>control!$B$3*TAN('k2'!H52/180*PI())/SQRT(1+TAN('k2'!H52/180*PI())^2+TAN('k2'!$H$46/180*PI())^2)</f>
        <v>0</v>
      </c>
      <c r="J52" s="40">
        <f>control!$B$3*TAN('k2'!$H$46/180*PI())/SQRT(1+TAN('k2'!H52/180*PI())^2+TAN('k2'!$H$46/180*PI())^2)</f>
        <v>-0.17364817766693036</v>
      </c>
      <c r="K52" s="40" t="b">
        <f t="shared" si="54"/>
        <v>0</v>
      </c>
      <c r="L52" s="40" t="b">
        <f>(I52^2+J52^2)&lt;=control!$B$2^2</f>
        <v>1</v>
      </c>
      <c r="M52" s="40">
        <f>ASIN(SQRT(I52^2+J52^2)/control!$B$3)/PI()*180</f>
        <v>10.000000000000002</v>
      </c>
      <c r="N52" s="40">
        <f t="shared" si="49"/>
        <v>-90</v>
      </c>
      <c r="O52" s="2">
        <f t="shared" si="50"/>
        <v>0</v>
      </c>
      <c r="P52" s="40">
        <f t="shared" si="43"/>
        <v>-1.3125</v>
      </c>
      <c r="Q52" s="40">
        <f t="shared" si="44"/>
        <v>-0.17364817766693053</v>
      </c>
      <c r="R52" s="40" t="b">
        <f t="shared" si="55"/>
        <v>1</v>
      </c>
      <c r="S52" s="40" t="b">
        <f>(P52^2+Q52^2)&lt;=control!$B$2^2</f>
        <v>1</v>
      </c>
      <c r="T52" s="40">
        <f>ASIN(SQRT(P52^2+Q52^2)/control!$B$2)/PI()*180</f>
        <v>41.450186106886719</v>
      </c>
      <c r="U52" s="40">
        <f t="shared" si="51"/>
        <v>-172.46334600638093</v>
      </c>
      <c r="V52" s="2">
        <f t="shared" si="45"/>
        <v>-7.5366539936190637</v>
      </c>
      <c r="W52" s="1">
        <f t="shared" si="46"/>
        <v>0</v>
      </c>
      <c r="X52" s="40">
        <f t="shared" si="47"/>
        <v>1.1388518223330699</v>
      </c>
      <c r="Y52" s="40" t="b">
        <f t="shared" si="56"/>
        <v>1</v>
      </c>
      <c r="Z52" s="40" t="b">
        <f>(W52^2+X52^2)&lt;=control!$B$2^2</f>
        <v>1</v>
      </c>
      <c r="AA52" s="40">
        <f>ASIN(SQRT(W52^2+X52^2)/control!$B$2)/PI()*180</f>
        <v>34.710202490276757</v>
      </c>
      <c r="AB52" s="40">
        <f t="shared" si="52"/>
        <v>90</v>
      </c>
      <c r="AC52" s="2">
        <f t="shared" si="53"/>
        <v>4.4059631951009758E-16</v>
      </c>
      <c r="AD52" s="1">
        <f t="shared" si="48"/>
        <v>8.0400367353378188E-17</v>
      </c>
      <c r="AE52" s="40">
        <f>X52+$AE$4</f>
        <v>-0.17364817766693008</v>
      </c>
      <c r="AF52" s="40" t="b">
        <f t="shared" si="57"/>
        <v>0</v>
      </c>
      <c r="AG52" s="40" t="b">
        <f>(AD52^2+AE52^2)&lt;=control!$B$2^2</f>
        <v>1</v>
      </c>
      <c r="AH52" s="40">
        <f>ASIN(SQRT(AD52^2+AE52^2)/control!$B$3)/PI()*180</f>
        <v>9.9999999999999858</v>
      </c>
      <c r="AI52" s="40">
        <f>ATAN2(AD52,AE52)/PI()*180</f>
        <v>-89.999999999999972</v>
      </c>
      <c r="AJ52" s="2">
        <f>ASIN((AD52*$AE$58-$AD$58*AE52)/(SQRT(AD52^2+AE52^2)*SQRT($AD$58^2+$AE$58^2)))/PI()*180</f>
        <v>13.516568108791349</v>
      </c>
    </row>
    <row r="53" spans="7:36" x14ac:dyDescent="0.3">
      <c r="G53" s="1">
        <v>-0.2</v>
      </c>
      <c r="H53">
        <f>G53*control!$B$9/2+control!$B$8</f>
        <v>-3.5</v>
      </c>
      <c r="I53" s="1">
        <f>control!$B$3*TAN('k2'!H53/180*PI())/SQRT(1+TAN('k2'!H53/180*PI())^2+TAN('k2'!$H$46/180*PI())^2)</f>
        <v>-6.0124453547445153E-2</v>
      </c>
      <c r="J53" s="40">
        <f>control!$B$3*TAN('k2'!$H$46/180*PI())/SQRT(1+TAN('k2'!H53/180*PI())^2+TAN('k2'!$H$46/180*PI())^2)</f>
        <v>-0.17333402876925988</v>
      </c>
      <c r="K53" s="40" t="b">
        <f t="shared" si="54"/>
        <v>0</v>
      </c>
      <c r="L53" s="40" t="b">
        <f>(I53^2+J53^2)&lt;=control!$B$2^2</f>
        <v>1</v>
      </c>
      <c r="M53" s="40">
        <f>ASIN(SQRT(I53^2+J53^2)/control!$B$3)/PI()*180</f>
        <v>10.57168810780826</v>
      </c>
      <c r="N53" s="40">
        <f t="shared" si="49"/>
        <v>-109.13014924248694</v>
      </c>
      <c r="O53" s="2">
        <f t="shared" si="50"/>
        <v>19.130149242486926</v>
      </c>
      <c r="P53" s="40">
        <f t="shared" si="43"/>
        <v>-1.3726244535474452</v>
      </c>
      <c r="Q53" s="40">
        <f t="shared" si="44"/>
        <v>-0.17333402876926005</v>
      </c>
      <c r="R53" s="40" t="b">
        <f t="shared" si="55"/>
        <v>1</v>
      </c>
      <c r="S53" s="40" t="b">
        <f>(P53^2+Q53^2)&lt;=control!$B$2^2</f>
        <v>1</v>
      </c>
      <c r="T53" s="40">
        <f>ASIN(SQRT(P53^2+Q53^2)/control!$B$2)/PI()*180</f>
        <v>43.769804944691963</v>
      </c>
      <c r="U53" s="40">
        <f t="shared" si="51"/>
        <v>-172.80282531345659</v>
      </c>
      <c r="V53" s="2">
        <f t="shared" si="45"/>
        <v>-7.1971746865433968</v>
      </c>
      <c r="W53" s="1">
        <f t="shared" si="46"/>
        <v>-6.0124453547445222E-2</v>
      </c>
      <c r="X53" s="40">
        <f t="shared" si="47"/>
        <v>1.1391659712307405</v>
      </c>
      <c r="Y53" s="40" t="b">
        <f t="shared" si="56"/>
        <v>1</v>
      </c>
      <c r="Z53" s="40" t="b">
        <f>(W53^2+X53^2)&lt;=control!$B$2^2</f>
        <v>1</v>
      </c>
      <c r="AA53" s="40">
        <f>ASIN(SQRT(W53^2+X53^2)/control!$B$2)/PI()*180</f>
        <v>34.776433250004303</v>
      </c>
      <c r="AB53" s="40">
        <f t="shared" si="52"/>
        <v>93.021231412116919</v>
      </c>
      <c r="AC53" s="2">
        <f t="shared" si="53"/>
        <v>-3.0212314121169235</v>
      </c>
      <c r="AD53" s="1">
        <f t="shared" si="48"/>
        <v>-6.0124453547445139E-2</v>
      </c>
      <c r="AE53" s="40">
        <f>X53+$AE$4</f>
        <v>-0.17333402876925952</v>
      </c>
      <c r="AF53" s="40" t="b">
        <f t="shared" si="57"/>
        <v>0</v>
      </c>
      <c r="AG53" s="40" t="b">
        <f>(AD53^2+AE53^2)&lt;=control!$B$2^2</f>
        <v>1</v>
      </c>
      <c r="AH53" s="40">
        <f>ASIN(SQRT(AD53^2+AE53^2)/control!$B$3)/PI()*180</f>
        <v>10.571688107808242</v>
      </c>
      <c r="AI53" s="40">
        <f>ATAN2(AD53,AE53)/PI()*180</f>
        <v>-109.13014924248695</v>
      </c>
      <c r="AJ53" s="2">
        <f>ASIN((AD53*$AE$58-$AD$58*AE53)/(SQRT(AD53^2+AE53^2)*SQRT($AD$58^2+$AE$58^2)))/PI()*180</f>
        <v>-5.6135811336956367</v>
      </c>
    </row>
    <row r="54" spans="7:36" x14ac:dyDescent="0.3">
      <c r="G54" s="1">
        <v>-0.4</v>
      </c>
      <c r="H54">
        <f>G54*control!$B$9/2+control!$B$8</f>
        <v>-7</v>
      </c>
      <c r="I54" s="1">
        <f>control!$B$3*TAN('k2'!H54/180*PI())/SQRT(1+TAN('k2'!H54/180*PI())^2+TAN('k2'!$H$46/180*PI())^2)</f>
        <v>-0.12004475807606822</v>
      </c>
      <c r="J54" s="40">
        <f>control!$B$3*TAN('k2'!$H$46/180*PI())/SQRT(1+TAN('k2'!H54/180*PI())^2+TAN('k2'!$H$46/180*PI())^2)</f>
        <v>-0.17239243750010019</v>
      </c>
      <c r="K54" s="40" t="b">
        <f t="shared" si="54"/>
        <v>0</v>
      </c>
      <c r="L54" s="40" t="b">
        <f>(I54^2+J54^2)&lt;=control!$B$2^2</f>
        <v>1</v>
      </c>
      <c r="M54" s="40">
        <f>ASIN(SQRT(I54^2+J54^2)/control!$B$3)/PI()*180</f>
        <v>12.126523017514099</v>
      </c>
      <c r="N54" s="40">
        <f t="shared" si="49"/>
        <v>-124.85126374945099</v>
      </c>
      <c r="O54" s="2">
        <f t="shared" si="50"/>
        <v>34.851263749451007</v>
      </c>
      <c r="P54" s="40">
        <f t="shared" si="43"/>
        <v>-1.4325447580760682</v>
      </c>
      <c r="Q54" s="40">
        <f t="shared" si="44"/>
        <v>-0.17239243750010036</v>
      </c>
      <c r="R54" s="40" t="b">
        <f t="shared" si="55"/>
        <v>1</v>
      </c>
      <c r="S54" s="40" t="b">
        <f>(P54^2+Q54^2)&lt;=control!$B$2^2</f>
        <v>1</v>
      </c>
      <c r="T54" s="40">
        <f>ASIN(SQRT(P54^2+Q54^2)/control!$B$2)/PI()*180</f>
        <v>46.1735113355669</v>
      </c>
      <c r="U54" s="40">
        <f t="shared" si="51"/>
        <v>-173.13802328163999</v>
      </c>
      <c r="V54" s="2">
        <f t="shared" si="45"/>
        <v>-6.8619767183600011</v>
      </c>
      <c r="W54" s="1">
        <f t="shared" si="46"/>
        <v>-0.12004475807606818</v>
      </c>
      <c r="X54" s="40">
        <f t="shared" si="47"/>
        <v>1.1401075624999</v>
      </c>
      <c r="Y54" s="40" t="b">
        <f t="shared" si="56"/>
        <v>1</v>
      </c>
      <c r="Z54" s="40" t="b">
        <f>(W54^2+X54^2)&lt;=control!$B$2^2</f>
        <v>1</v>
      </c>
      <c r="AA54" s="40">
        <f>ASIN(SQRT(W54^2+X54^2)/control!$B$2)/PI()*180</f>
        <v>34.974025596512448</v>
      </c>
      <c r="AB54" s="40">
        <f t="shared" si="52"/>
        <v>96.010667840078924</v>
      </c>
      <c r="AC54" s="2">
        <f t="shared" si="53"/>
        <v>-6.0106678400789235</v>
      </c>
      <c r="AD54" s="1">
        <f t="shared" si="48"/>
        <v>-0.1200447580760681</v>
      </c>
      <c r="AE54" s="40">
        <f>X54+$AE$4</f>
        <v>-0.17239243750010003</v>
      </c>
      <c r="AF54" s="40" t="b">
        <f t="shared" si="57"/>
        <v>0</v>
      </c>
      <c r="AG54" s="40" t="b">
        <f>(AD54^2+AE54^2)&lt;=control!$B$2^2</f>
        <v>1</v>
      </c>
      <c r="AH54" s="40">
        <f>ASIN(SQRT(AD54^2+AE54^2)/control!$B$3)/PI()*180</f>
        <v>12.126523017514087</v>
      </c>
      <c r="AI54" s="40">
        <f>ATAN2(AD54,AE54)/PI()*180</f>
        <v>-124.85126374945099</v>
      </c>
      <c r="AJ54" s="2">
        <f>ASIN((AD54*$AE$58-$AD$58*AE54)/(SQRT(AD54^2+AE54^2)*SQRT($AD$58^2+$AE$58^2)))/PI()*180</f>
        <v>-21.334695640659689</v>
      </c>
    </row>
    <row r="55" spans="7:36" x14ac:dyDescent="0.3">
      <c r="G55" s="1">
        <v>-0.6</v>
      </c>
      <c r="H55">
        <f>G55*control!$B$9/2+control!$B$8</f>
        <v>-10.5</v>
      </c>
      <c r="I55" s="1">
        <f>control!$B$3*TAN('k2'!H55/180*PI())/SQRT(1+TAN('k2'!H55/180*PI())^2+TAN('k2'!$H$46/180*PI())^2)</f>
        <v>-0.1795568848144925</v>
      </c>
      <c r="J55" s="40">
        <f>control!$B$3*TAN('k2'!$H$46/180*PI())/SQRT(1+TAN('k2'!H55/180*PI())^2+TAN('k2'!$H$46/180*PI())^2)</f>
        <v>-0.17082597666591404</v>
      </c>
      <c r="K55" s="40" t="b">
        <f t="shared" si="54"/>
        <v>0</v>
      </c>
      <c r="L55" s="40" t="b">
        <f>(I55^2+J55^2)&lt;=control!$B$2^2</f>
        <v>1</v>
      </c>
      <c r="M55" s="40">
        <f>ASIN(SQRT(I55^2+J55^2)/control!$B$3)/PI()*180</f>
        <v>14.349435774653708</v>
      </c>
      <c r="N55" s="40">
        <f t="shared" si="49"/>
        <v>-136.42741196891291</v>
      </c>
      <c r="O55" s="2">
        <f t="shared" si="50"/>
        <v>46.427411968912921</v>
      </c>
      <c r="P55" s="40">
        <f t="shared" si="43"/>
        <v>-1.4920568848144926</v>
      </c>
      <c r="Q55" s="40">
        <f t="shared" si="44"/>
        <v>-0.1708259766659142</v>
      </c>
      <c r="R55" s="40" t="b">
        <f t="shared" si="55"/>
        <v>1</v>
      </c>
      <c r="S55" s="40" t="b">
        <f>(P55^2+Q55^2)&lt;=control!$B$2^2</f>
        <v>1</v>
      </c>
      <c r="T55" s="40">
        <f>ASIN(SQRT(P55^2+Q55^2)/control!$B$2)/PI()*180</f>
        <v>48.668572539342435</v>
      </c>
      <c r="U55" s="40">
        <f t="shared" si="51"/>
        <v>-173.46863016020745</v>
      </c>
      <c r="V55" s="2">
        <f t="shared" si="45"/>
        <v>-6.5313698397925473</v>
      </c>
      <c r="W55" s="1">
        <f t="shared" si="46"/>
        <v>-0.17955688481449261</v>
      </c>
      <c r="X55" s="40">
        <f t="shared" si="47"/>
        <v>1.1416740233340863</v>
      </c>
      <c r="Y55" s="40" t="b">
        <f t="shared" si="56"/>
        <v>1</v>
      </c>
      <c r="Z55" s="40" t="b">
        <f>(W55^2+X55^2)&lt;=control!$B$2^2</f>
        <v>1</v>
      </c>
      <c r="AA55" s="40">
        <f>ASIN(SQRT(W55^2+X55^2)/control!$B$2)/PI()*180</f>
        <v>35.29973445725232</v>
      </c>
      <c r="AB55" s="40">
        <f t="shared" si="52"/>
        <v>98.937983755559628</v>
      </c>
      <c r="AC55" s="2">
        <f t="shared" si="53"/>
        <v>-8.9379837555596318</v>
      </c>
      <c r="AD55" s="1">
        <f t="shared" si="48"/>
        <v>-0.17955688481449253</v>
      </c>
      <c r="AE55" s="40">
        <f>X55+$AE$4</f>
        <v>-0.1708259766659137</v>
      </c>
      <c r="AF55" s="40" t="b">
        <f t="shared" si="57"/>
        <v>0</v>
      </c>
      <c r="AG55" s="40" t="b">
        <f>(AD55^2+AE55^2)&lt;=control!$B$2^2</f>
        <v>1</v>
      </c>
      <c r="AH55" s="40">
        <f>ASIN(SQRT(AD55^2+AE55^2)/control!$B$3)/PI()*180</f>
        <v>14.349435774653701</v>
      </c>
      <c r="AI55" s="40">
        <f>ATAN2(AD55,AE55)/PI()*180</f>
        <v>-136.42741196891296</v>
      </c>
      <c r="AJ55" s="2">
        <f>ASIN((AD55*$AE$58-$AD$58*AE55)/(SQRT(AD55^2+AE55^2)*SQRT($AD$58^2+$AE$58^2)))/PI()*180</f>
        <v>-32.910843860121645</v>
      </c>
    </row>
    <row r="56" spans="7:36" x14ac:dyDescent="0.3">
      <c r="G56" s="1">
        <v>-0.8</v>
      </c>
      <c r="H56">
        <f>G56*control!$B$9/2+control!$B$8</f>
        <v>-14</v>
      </c>
      <c r="I56" s="1">
        <f>control!$B$3*TAN('k2'!H56/180*PI())/SQRT(1+TAN('k2'!H56/180*PI())^2+TAN('k2'!$H$46/180*PI())^2)</f>
        <v>-0.23845706356958102</v>
      </c>
      <c r="J56" s="40">
        <f>control!$B$3*TAN('k2'!$H$46/180*PI())/SQRT(1+TAN('k2'!H56/180*PI())^2+TAN('k2'!$H$46/180*PI())^2)</f>
        <v>-0.16863895578659316</v>
      </c>
      <c r="K56" s="40" t="b">
        <f t="shared" si="54"/>
        <v>0</v>
      </c>
      <c r="L56" s="40" t="b">
        <f>(I56^2+J56^2)&lt;=control!$B$2^2</f>
        <v>1</v>
      </c>
      <c r="M56" s="40">
        <f>ASIN(SQRT(I56^2+J56^2)/control!$B$3)/PI()*180</f>
        <v>16.9815127090834</v>
      </c>
      <c r="N56" s="40">
        <f t="shared" si="49"/>
        <v>-144.73171014801039</v>
      </c>
      <c r="O56" s="2">
        <f t="shared" si="50"/>
        <v>54.731710148010386</v>
      </c>
      <c r="P56" s="40">
        <f t="shared" si="43"/>
        <v>-1.5509570635695811</v>
      </c>
      <c r="Q56" s="40">
        <f t="shared" si="44"/>
        <v>-0.16863895578659333</v>
      </c>
      <c r="R56" s="40" t="b">
        <f t="shared" si="55"/>
        <v>1</v>
      </c>
      <c r="S56" s="40" t="b">
        <f>(P56^2+Q56^2)&lt;=control!$B$2^2</f>
        <v>1</v>
      </c>
      <c r="T56" s="40">
        <f>ASIN(SQRT(P56^2+Q56^2)/control!$B$2)/PI()*180</f>
        <v>51.265078754750057</v>
      </c>
      <c r="U56" s="40">
        <f t="shared" si="51"/>
        <v>-173.79448317324301</v>
      </c>
      <c r="V56" s="2">
        <f>ASIN((P56*$Q$58-$P$58*Q56)/(SQRT(P56^2+Q56^2)*SQRT($P$58^2+$Q$58^2)))/PI()*180</f>
        <v>-6.2055168267569822</v>
      </c>
      <c r="W56" s="1">
        <f t="shared" si="46"/>
        <v>-0.23845706356958107</v>
      </c>
      <c r="X56" s="40">
        <f t="shared" si="47"/>
        <v>1.1438610442134072</v>
      </c>
      <c r="Y56" s="40" t="b">
        <f t="shared" si="56"/>
        <v>1</v>
      </c>
      <c r="Z56" s="40" t="b">
        <f>(W56^2+X56^2)&lt;=control!$B$2^2</f>
        <v>1</v>
      </c>
      <c r="AA56" s="40">
        <f>ASIN(SQRT(W56^2+X56^2)/control!$B$2)/PI()*180</f>
        <v>35.748325989977658</v>
      </c>
      <c r="AB56" s="40">
        <f t="shared" si="52"/>
        <v>101.77561829320558</v>
      </c>
      <c r="AC56" s="2">
        <f t="shared" si="53"/>
        <v>-11.775618293205579</v>
      </c>
      <c r="AD56" s="1">
        <f t="shared" si="48"/>
        <v>-0.23845706356958099</v>
      </c>
      <c r="AE56" s="40">
        <f>X56+$AE$4</f>
        <v>-0.16863895578659283</v>
      </c>
      <c r="AF56" s="40" t="b">
        <f t="shared" si="57"/>
        <v>0</v>
      </c>
      <c r="AG56" s="40" t="b">
        <f>(AD56^2+AE56^2)&lt;=control!$B$2^2</f>
        <v>1</v>
      </c>
      <c r="AH56" s="40">
        <f>ASIN(SQRT(AD56^2+AE56^2)/control!$B$3)/PI()*180</f>
        <v>16.981512709083393</v>
      </c>
      <c r="AI56" s="40">
        <f>ATAN2(AD56,AE56)/PI()*180</f>
        <v>-144.73171014801045</v>
      </c>
      <c r="AJ56" s="2">
        <f>ASIN((AD56*$AE$58-$AD$58*AE56)/(SQRT(AD56^2+AE56^2)*SQRT($AD$58^2+$AE$58^2)))/PI()*180</f>
        <v>-41.215142039219117</v>
      </c>
    </row>
    <row r="57" spans="7:36" x14ac:dyDescent="0.3">
      <c r="G57" s="1">
        <v>-1</v>
      </c>
      <c r="H57">
        <f>G57*control!$B$9/2+control!$B$8</f>
        <v>-17.5</v>
      </c>
      <c r="I57" s="1">
        <f>control!$B$3*TAN('k2'!H57/180*PI())/SQRT(1+TAN('k2'!H57/180*PI())^2+TAN('k2'!$H$46/180*PI())^2)</f>
        <v>-0.29654195678697232</v>
      </c>
      <c r="J57" s="40">
        <f>control!$B$3*TAN('k2'!$H$46/180*PI())/SQRT(1+TAN('k2'!H57/180*PI())^2+TAN('k2'!$H$46/180*PI())^2)</f>
        <v>-0.16583745240358658</v>
      </c>
      <c r="K57" s="6" t="b">
        <f t="shared" si="54"/>
        <v>0</v>
      </c>
      <c r="L57" s="6" t="b">
        <f>(I57^2+J57^2)&lt;=control!$B$2^2</f>
        <v>1</v>
      </c>
      <c r="M57" s="6">
        <f>ASIN(SQRT(I57^2+J57^2)/control!$B$3)/PI()*180</f>
        <v>19.862462001023477</v>
      </c>
      <c r="N57" s="6">
        <f t="shared" si="49"/>
        <v>-150.78443244019712</v>
      </c>
      <c r="O57" s="8">
        <f t="shared" si="50"/>
        <v>60.784432440197115</v>
      </c>
      <c r="P57" s="6">
        <f t="shared" si="43"/>
        <v>-1.6090419567869723</v>
      </c>
      <c r="Q57" s="6">
        <f t="shared" si="44"/>
        <v>-0.16583745240358674</v>
      </c>
      <c r="R57" s="6" t="b">
        <f t="shared" si="55"/>
        <v>1</v>
      </c>
      <c r="S57" s="6" t="b">
        <f>(P57^2+Q57^2)&lt;=control!$B$2^2</f>
        <v>1</v>
      </c>
      <c r="T57" s="6">
        <f>ASIN(SQRT(P57^2+Q57^2)/control!$B$2)/PI()*180</f>
        <v>53.977171709163812</v>
      </c>
      <c r="U57" s="6">
        <f t="shared" si="51"/>
        <v>-174.1155329371808</v>
      </c>
      <c r="V57" s="8">
        <f t="shared" si="45"/>
        <v>-5.8844670628191889</v>
      </c>
      <c r="W57" s="7">
        <f t="shared" si="46"/>
        <v>-0.29654195678697226</v>
      </c>
      <c r="X57" s="6">
        <f t="shared" si="47"/>
        <v>1.1466625475964136</v>
      </c>
      <c r="Y57" s="6" t="b">
        <f t="shared" si="56"/>
        <v>1</v>
      </c>
      <c r="Z57" s="6" t="b">
        <f>(W57^2+X57^2)&lt;=control!$B$2^2</f>
        <v>1</v>
      </c>
      <c r="AA57" s="6">
        <f>ASIN(SQRT(W57^2+X57^2)/control!$B$2)/PI()*180</f>
        <v>36.312814073616266</v>
      </c>
      <c r="AB57" s="6">
        <f t="shared" si="52"/>
        <v>104.49975920508922</v>
      </c>
      <c r="AC57" s="8">
        <f t="shared" si="53"/>
        <v>-14.499759205089219</v>
      </c>
      <c r="AD57" s="7">
        <f t="shared" si="48"/>
        <v>-0.29654195678697221</v>
      </c>
      <c r="AE57" s="6">
        <f>X57+$AE$4</f>
        <v>-0.16583745240358638</v>
      </c>
      <c r="AF57" s="6" t="b">
        <f t="shared" si="57"/>
        <v>0</v>
      </c>
      <c r="AG57" s="6" t="b">
        <f>(AD57^2+AE57^2)&lt;=control!$B$2^2</f>
        <v>1</v>
      </c>
      <c r="AH57" s="6">
        <f>ASIN(SQRT(AD57^2+AE57^2)/control!$B$3)/PI()*180</f>
        <v>19.862462001023463</v>
      </c>
      <c r="AI57" s="6">
        <f>ATAN2(AD57,AE57)/PI()*180</f>
        <v>-150.78443244019712</v>
      </c>
      <c r="AJ57" s="8">
        <f>ASIN((AD57*$AE$58-$AD$58*AE57)/(SQRT(AD57^2+AE57^2)*SQRT($AD$58^2+$AE$58^2)))/PI()*180</f>
        <v>-47.267864331405811</v>
      </c>
    </row>
    <row r="58" spans="7:36" x14ac:dyDescent="0.3">
      <c r="I58" s="4">
        <f>AVERAGE(I47:I57,I33:I43,I19:I29,I5:I15)</f>
        <v>0</v>
      </c>
      <c r="J58" s="3">
        <f>AVERAGE(J47:J57,J33:J43,J19:J29,J5:J15)</f>
        <v>-5.0464682937507117E-18</v>
      </c>
      <c r="K58" s="3"/>
      <c r="L58" s="3"/>
      <c r="M58" s="3"/>
      <c r="N58" s="3"/>
      <c r="O58" s="5"/>
      <c r="P58" s="3">
        <f>AVERAGE(P47:P57,P33:P43,P19:P29,P5:P15)</f>
        <v>-1.3124999999999998</v>
      </c>
      <c r="Q58" s="3">
        <f>AVERAGE(Q47:Q57,Q33:Q43,Q19:Q29,Q5:Q15)</f>
        <v>-1.6401021954689813E-16</v>
      </c>
      <c r="R58" s="3"/>
      <c r="S58" s="3"/>
      <c r="T58" s="3"/>
      <c r="U58" s="3"/>
      <c r="V58" s="5"/>
      <c r="W58" s="3">
        <f>AVERAGE(W47:W57,W33:W43,W19:W29,W5:W15)</f>
        <v>-1.0092936587501423E-17</v>
      </c>
      <c r="X58" s="3">
        <f>AVERAGE(X47:X57,X33:X43,X19:X29,X5:X15)</f>
        <v>1.3125000000000002</v>
      </c>
      <c r="AD58" s="4">
        <f>AVERAGE(AD47:AD57,AD33:AD43,AD19:AD29,AD5:AD15)</f>
        <v>6.30808536718839E-17</v>
      </c>
      <c r="AE58" s="3">
        <f>AVERAGE(AE47:AE57,AE33:AE43,AE19:AE29,AE5:AE15)</f>
        <v>2.6241635127503701E-16</v>
      </c>
    </row>
    <row r="59" spans="7:36" x14ac:dyDescent="0.3">
      <c r="K59" s="40" t="s">
        <v>116</v>
      </c>
      <c r="L59" s="40" t="s">
        <v>117</v>
      </c>
      <c r="M59" s="40" t="s">
        <v>118</v>
      </c>
      <c r="N59" s="42" t="s">
        <v>119</v>
      </c>
      <c r="O59" s="2" t="s">
        <v>51</v>
      </c>
      <c r="R59" s="40" t="s">
        <v>116</v>
      </c>
      <c r="S59" s="40" t="s">
        <v>117</v>
      </c>
      <c r="T59" s="40" t="s">
        <v>118</v>
      </c>
      <c r="U59" s="42" t="s">
        <v>119</v>
      </c>
      <c r="V59" s="2" t="s">
        <v>51</v>
      </c>
      <c r="Y59" s="40" t="s">
        <v>116</v>
      </c>
      <c r="Z59" s="40" t="s">
        <v>117</v>
      </c>
      <c r="AA59" s="40" t="s">
        <v>118</v>
      </c>
      <c r="AB59" s="42" t="s">
        <v>119</v>
      </c>
      <c r="AC59" s="2" t="s">
        <v>51</v>
      </c>
      <c r="AF59" s="40" t="s">
        <v>116</v>
      </c>
      <c r="AG59" s="40" t="s">
        <v>117</v>
      </c>
      <c r="AH59" s="40" t="s">
        <v>118</v>
      </c>
      <c r="AI59" s="42" t="s">
        <v>119</v>
      </c>
      <c r="AJ59" s="2" t="s">
        <v>51</v>
      </c>
    </row>
    <row r="60" spans="7:36" x14ac:dyDescent="0.3">
      <c r="I60" s="1" t="s">
        <v>31</v>
      </c>
      <c r="J60" s="40">
        <f>4+MATCH(O60, O5:O57, 0)</f>
        <v>38</v>
      </c>
      <c r="K60" s="1">
        <f ca="1">INDIRECT("I"&amp;'k2'!J60)</f>
        <v>0.30070579950427312</v>
      </c>
      <c r="L60" s="40" cm="1">
        <f t="array" aca="1" ref="L60" ca="1">INDIRECT("J"&amp;'k2'!J60)</f>
        <v>0</v>
      </c>
      <c r="M60" s="40">
        <f>MIN(M5:M57)</f>
        <v>10.000000000000002</v>
      </c>
      <c r="N60" s="40">
        <f ca="1">ATAN2(K60,L60)/PI()*180</f>
        <v>0</v>
      </c>
      <c r="O60" s="2">
        <f>MIN(O47:O57,O33:O43,O19:O29,O5:O15)</f>
        <v>-90</v>
      </c>
      <c r="P60" s="40" t="s">
        <v>31</v>
      </c>
      <c r="Q60" s="40">
        <f>4+MATCH(V60, V5:V57, 0)</f>
        <v>43</v>
      </c>
      <c r="R60" s="1">
        <f ca="1">INDIRECT("P"&amp;'k2'!Q60)</f>
        <v>-1.0159580432130277</v>
      </c>
      <c r="S60" s="40">
        <f ca="1">INDIRECT("Q"&amp;'k2'!Q60)</f>
        <v>-0.16583745240358674</v>
      </c>
      <c r="T60" s="40">
        <f>MIN(T5:T57)</f>
        <v>30.390921999797548</v>
      </c>
      <c r="U60" s="40">
        <f ca="1">ATAN2(R60,S60)/PI()*180</f>
        <v>-170.72922462656473</v>
      </c>
      <c r="V60" s="2">
        <f>MIN(V47:V57,V33:V43,V19:V29,V5:V15)</f>
        <v>-9.270775373435276</v>
      </c>
      <c r="W60" s="40" t="s">
        <v>31</v>
      </c>
      <c r="X60" s="40">
        <f>4+MATCH(AC60, AC5:AC57, 0)</f>
        <v>5</v>
      </c>
      <c r="Y60" s="40">
        <f ca="1">INDIRECT("W"&amp;'k2'!X60)</f>
        <v>-0.29654195678697226</v>
      </c>
      <c r="Z60" s="40">
        <f ca="1">INDIRECT("X"&amp;'k2'!X60)</f>
        <v>1.1466625475964136</v>
      </c>
      <c r="AA60" s="40">
        <f>MIN(AA5:AA57)</f>
        <v>34.710202490276757</v>
      </c>
      <c r="AB60" s="40">
        <f ca="1">ATAN2(Y60,Z60)/PI()*180</f>
        <v>104.49975920508922</v>
      </c>
      <c r="AC60" s="2">
        <f>MIN(AC47:AC57,AC33:AC43,AC19:AC29,AC5:AC15)</f>
        <v>-14.499759205089219</v>
      </c>
      <c r="AD60" s="40" t="s">
        <v>31</v>
      </c>
      <c r="AE60" s="40">
        <f>4+MATCH(AJ60, AJ5:AJ57, 0)</f>
        <v>12</v>
      </c>
      <c r="AF60" s="40">
        <f ca="1">INDIRECT("AD"&amp;'k2'!AE60)</f>
        <v>-0.30003931119635724</v>
      </c>
      <c r="AG60" s="40">
        <f ca="1">INDIRECT("AE"&amp;'k2'!AE60)</f>
        <v>6.654257240975614E-2</v>
      </c>
      <c r="AH60" s="40">
        <f>MIN(AH5:AH57)</f>
        <v>9.9999999999999858</v>
      </c>
      <c r="AI60" s="40">
        <f ca="1">ATAN2(AF60,AG60)/PI()*180</f>
        <v>167.49536624454007</v>
      </c>
      <c r="AJ60" s="2">
        <f>MIN(AJ47:AJ57,AJ33:AJ43,AJ19:AJ29,AJ5:AJ15)</f>
        <v>-88.988065646668005</v>
      </c>
    </row>
    <row r="61" spans="7:36" x14ac:dyDescent="0.3">
      <c r="I61" s="1" t="s">
        <v>30</v>
      </c>
      <c r="J61" s="40">
        <f>4+MATCH(O61, O5:O57, 0)</f>
        <v>10</v>
      </c>
      <c r="K61" s="1" cm="1">
        <f t="array" aca="1" ref="K61" ca="1">INDIRECT("I"&amp;'k2'!J61)</f>
        <v>-0.30070579950427312</v>
      </c>
      <c r="L61" s="40" cm="1">
        <f t="array" aca="1" ref="L61" ca="1">INDIRECT("J"&amp;'k2'!J61)</f>
        <v>0</v>
      </c>
      <c r="M61" s="40">
        <f>MAX(M5:M57)</f>
        <v>19.862462001023477</v>
      </c>
      <c r="N61" s="40">
        <f ca="1">ATAN2(K61,L61)/PI()*180</f>
        <v>180</v>
      </c>
      <c r="O61" s="2">
        <f>MAX(O47:O57,O33:O43,O19:O29,O5:O15)</f>
        <v>90</v>
      </c>
      <c r="P61" s="40" t="s">
        <v>30</v>
      </c>
      <c r="Q61" s="40">
        <f>4+MATCH(V61, V5:V57, 0)</f>
        <v>29</v>
      </c>
      <c r="R61" s="1">
        <f ca="1">INDIRECT("P"&amp;'k2'!Q61)</f>
        <v>-1.0159580432130277</v>
      </c>
      <c r="S61" s="40">
        <f ca="1">INDIRECT("Q"&amp;'k2'!Q61)</f>
        <v>0.16583745240358641</v>
      </c>
      <c r="T61" s="40">
        <f>MAX(T5:T57)</f>
        <v>53.977171709163812</v>
      </c>
      <c r="U61" s="40">
        <f ca="1">ATAN2(R61,S61)/PI()*180</f>
        <v>170.72922462656476</v>
      </c>
      <c r="V61" s="2">
        <f>MAX(V47:V57,V33:V43,V19:V29,V5:V15)</f>
        <v>9.2707753734352725</v>
      </c>
      <c r="W61" s="40" t="s">
        <v>30</v>
      </c>
      <c r="X61" s="40">
        <f>4+MATCH(AC61, AC5:AC57, 0)</f>
        <v>43</v>
      </c>
      <c r="Y61" s="40">
        <f ca="1">INDIRECT("W"&amp;'k2'!X61)</f>
        <v>0.29654195678697226</v>
      </c>
      <c r="Z61" s="40">
        <f ca="1">INDIRECT("X"&amp;'k2'!X61)</f>
        <v>1.1466625475964136</v>
      </c>
      <c r="AA61" s="40">
        <f>MAX(AA5:AA57)</f>
        <v>48.928738274606559</v>
      </c>
      <c r="AB61" s="40">
        <f ca="1">ATAN2(Y61,Z61)/PI()*180</f>
        <v>75.500240794910781</v>
      </c>
      <c r="AC61" s="2">
        <f>MAX(AC47:AC57,AC33:AC43,AC19:AC29,AC5:AC15)</f>
        <v>14.499759205089219</v>
      </c>
      <c r="AD61" s="40" t="s">
        <v>30</v>
      </c>
      <c r="AE61" s="40">
        <f>4+MATCH(AJ61, AJ5:AJ57, 0)</f>
        <v>40</v>
      </c>
      <c r="AF61" s="40">
        <f ca="1">INDIRECT("AD"&amp;'k2'!AE61)</f>
        <v>0.30003931119635735</v>
      </c>
      <c r="AG61" s="40">
        <f ca="1">INDIRECT("AE"&amp;'k2'!AE61)</f>
        <v>-6.6542572409755474E-2</v>
      </c>
      <c r="AH61" s="40">
        <f>MAX(AH5:AH57)</f>
        <v>19.862462001023488</v>
      </c>
      <c r="AI61" s="40">
        <f ca="1">ATAN2(AF61,AG61)/PI()*180</f>
        <v>-12.504633755459823</v>
      </c>
      <c r="AJ61" s="2">
        <f>MAX(AJ47:AJ57,AJ33:AJ43,AJ19:AJ29,AJ5:AJ15)</f>
        <v>88.988065646668005</v>
      </c>
    </row>
    <row r="63" spans="7:36" x14ac:dyDescent="0.3">
      <c r="W63" s="40"/>
    </row>
    <row r="64" spans="7:36" x14ac:dyDescent="0.3">
      <c r="G64" s="37" t="s">
        <v>32</v>
      </c>
      <c r="H64" s="38"/>
      <c r="I64" s="4"/>
      <c r="J64" s="3"/>
      <c r="K64" s="3"/>
      <c r="L64" s="3"/>
      <c r="M64" s="3"/>
      <c r="N64" s="3"/>
      <c r="O64" s="5"/>
      <c r="P64" s="3"/>
      <c r="Q64" s="3"/>
      <c r="R64" s="3"/>
      <c r="S64" s="3"/>
      <c r="T64" s="3"/>
      <c r="U64" s="3"/>
      <c r="V64" s="5"/>
      <c r="W64" s="3"/>
      <c r="X64" s="3"/>
      <c r="Y64" s="3"/>
      <c r="Z64" s="3"/>
      <c r="AA64" s="3"/>
      <c r="AB64" s="3"/>
      <c r="AC64" s="5"/>
      <c r="AD64" s="3"/>
      <c r="AE64" s="3"/>
      <c r="AF64" s="3"/>
      <c r="AG64" s="3"/>
      <c r="AH64" s="3"/>
      <c r="AI64" s="3"/>
      <c r="AJ64" s="5"/>
    </row>
    <row r="65" spans="7:36" x14ac:dyDescent="0.3">
      <c r="G65" s="1" t="s">
        <v>43</v>
      </c>
      <c r="H65" s="2" t="s">
        <v>44</v>
      </c>
      <c r="I65" s="1" t="s">
        <v>33</v>
      </c>
      <c r="J65" s="40" t="s">
        <v>34</v>
      </c>
      <c r="K65" s="40" t="s">
        <v>115</v>
      </c>
      <c r="L65" s="40" t="s">
        <v>114</v>
      </c>
      <c r="M65" s="40" t="s">
        <v>12</v>
      </c>
      <c r="N65" s="40" t="s">
        <v>20</v>
      </c>
      <c r="O65" s="2" t="s">
        <v>20</v>
      </c>
      <c r="P65" s="40" t="s">
        <v>33</v>
      </c>
      <c r="Q65" s="40" t="s">
        <v>34</v>
      </c>
      <c r="R65" s="40" t="s">
        <v>115</v>
      </c>
      <c r="S65" s="40" t="s">
        <v>114</v>
      </c>
      <c r="T65" s="40" t="s">
        <v>12</v>
      </c>
      <c r="U65" s="40" t="s">
        <v>20</v>
      </c>
      <c r="V65" s="2" t="s">
        <v>20</v>
      </c>
      <c r="W65" s="40" t="s">
        <v>33</v>
      </c>
      <c r="X65" s="40" t="s">
        <v>34</v>
      </c>
      <c r="Y65" s="40" t="s">
        <v>115</v>
      </c>
      <c r="Z65" s="40" t="s">
        <v>114</v>
      </c>
      <c r="AA65" s="40" t="s">
        <v>12</v>
      </c>
      <c r="AB65" s="40" t="s">
        <v>20</v>
      </c>
      <c r="AC65" s="2" t="s">
        <v>20</v>
      </c>
      <c r="AD65" s="40" t="s">
        <v>33</v>
      </c>
      <c r="AE65" s="40" t="s">
        <v>34</v>
      </c>
      <c r="AF65" s="40" t="s">
        <v>115</v>
      </c>
      <c r="AG65" s="40" t="s">
        <v>114</v>
      </c>
      <c r="AH65" s="40" t="s">
        <v>12</v>
      </c>
      <c r="AI65" s="40" t="s">
        <v>20</v>
      </c>
      <c r="AJ65" s="2" t="s">
        <v>20</v>
      </c>
    </row>
    <row r="66" spans="7:36" x14ac:dyDescent="0.3">
      <c r="G66" s="1">
        <v>0</v>
      </c>
      <c r="H66" s="11">
        <v>1.0000000000000001E-9</v>
      </c>
      <c r="I66" s="1">
        <f>control!$B$3*TAN('k1'!G66/180*PI())/SQRT(1+TAN('k1'!G66/180*PI())^2+TAN('k1'!$H$66/180*PI())^2)</f>
        <v>0</v>
      </c>
      <c r="J66" s="40">
        <f>control!$B$3*TAN('k1'!$H$66/180*PI())/SQRT(1+TAN('k1'!G66/180*PI())^2+TAN('k1'!$H$66/180*PI())^2)</f>
        <v>1.7453292519943298E-11</v>
      </c>
      <c r="K66" s="40" t="b">
        <f t="shared" ref="K66" si="58">(I66^2+J66^2)&gt;=1</f>
        <v>0</v>
      </c>
      <c r="L66" s="40" t="b">
        <f>(I66^2+J66^2)&lt;=control!$B$2^2</f>
        <v>1</v>
      </c>
      <c r="M66" s="40">
        <f>ASIN(SQRT(I66^2+J66^2)/control!$B$3)/PI()*180</f>
        <v>1.0000000000000001E-9</v>
      </c>
      <c r="N66" s="40">
        <f>ATAN2(I66,J66)/PI()*180</f>
        <v>90</v>
      </c>
      <c r="O66" s="2">
        <f t="shared" ref="O66" si="59">IF(N66&lt;0,N66+360,N66)</f>
        <v>90</v>
      </c>
      <c r="P66" s="40">
        <f>I66+$P$4</f>
        <v>-1.3125</v>
      </c>
      <c r="Q66" s="40">
        <f>J66+$Q$4</f>
        <v>1.7453131719208591E-11</v>
      </c>
      <c r="R66" s="40" t="b">
        <f t="shared" ref="R66" si="60">(P66^2+Q66^2)&gt;=1</f>
        <v>1</v>
      </c>
      <c r="S66" s="40" t="b">
        <f>(P66^2+Q66^2)&lt;=control!$B$2^2</f>
        <v>1</v>
      </c>
      <c r="T66" s="40">
        <f>ASIN(SQRT(P66^2+Q66^2)/control!$B$2)/PI()*180</f>
        <v>41.014499665730519</v>
      </c>
      <c r="U66" s="40">
        <f>ATAN2(P66,Q66)/PI()*180</f>
        <v>179.9999999992381</v>
      </c>
      <c r="V66" s="2">
        <f t="shared" ref="V66" si="61">IF(U66&lt;0,U66+360,U66)</f>
        <v>179.9999999992381</v>
      </c>
      <c r="W66" s="40">
        <f>P66+$W$4</f>
        <v>0</v>
      </c>
      <c r="X66" s="40">
        <f>Q66+$X$4</f>
        <v>1.3125000000174536</v>
      </c>
      <c r="Y66" s="40" t="b">
        <f t="shared" ref="Y66" si="62">(W66^2+X66^2)&gt;=1</f>
        <v>1</v>
      </c>
      <c r="Z66" s="40" t="b">
        <f>(W66^2+X66^2)&lt;=control!$B$2^2</f>
        <v>1</v>
      </c>
      <c r="AA66" s="40">
        <f>ASIN(SQRT(W66^2+X66^2)/control!$B$2)/PI()*180</f>
        <v>41.014499666393185</v>
      </c>
      <c r="AB66" s="40">
        <f>ATAN2(W66,X66)/PI()*180</f>
        <v>90</v>
      </c>
      <c r="AC66" s="2">
        <f t="shared" ref="AC66" si="63">IF(AB66&lt;0,AB66+360,AB66)</f>
        <v>90</v>
      </c>
      <c r="AD66" s="40">
        <f>W66+$AD$4</f>
        <v>8.0400367353378188E-17</v>
      </c>
      <c r="AE66" s="40">
        <f>X66+$AE$4</f>
        <v>1.7453594125527161E-11</v>
      </c>
      <c r="AF66" s="40" t="b">
        <f t="shared" ref="AF66" si="64">(AD66^2+AE66^2)&gt;=1</f>
        <v>0</v>
      </c>
      <c r="AG66" s="40" t="b">
        <f>(AD66^2+AE66^2)&lt;=control!$B$2^2</f>
        <v>1</v>
      </c>
      <c r="AH66" s="40">
        <f>ASIN(SQRT(AD66^2+AE66^2)/control!$B$3)/PI()*180</f>
        <v>1.0000172807376432E-9</v>
      </c>
      <c r="AI66" s="40">
        <f>ATAN2(AD66,AE66)/PI()*180</f>
        <v>89.999736065724491</v>
      </c>
      <c r="AJ66" s="2">
        <f t="shared" ref="AJ66" si="65">IF(AI66&lt;0,AI66+360,AI66)</f>
        <v>89.999736065724491</v>
      </c>
    </row>
    <row r="67" spans="7:36" x14ac:dyDescent="0.3">
      <c r="W67" s="40"/>
    </row>
    <row r="68" spans="7:36" x14ac:dyDescent="0.3">
      <c r="W68" s="40"/>
    </row>
    <row r="69" spans="7:36" x14ac:dyDescent="0.3">
      <c r="W69" s="40"/>
    </row>
    <row r="70" spans="7:36" x14ac:dyDescent="0.3">
      <c r="W70" s="40"/>
    </row>
    <row r="71" spans="7:36" x14ac:dyDescent="0.3">
      <c r="I71" s="7"/>
      <c r="J71" s="6"/>
      <c r="K71" s="6"/>
      <c r="L71" s="6"/>
      <c r="M71" s="6"/>
      <c r="N71" s="6"/>
      <c r="O71" s="8"/>
      <c r="P71" s="6"/>
      <c r="Q71" s="6"/>
      <c r="R71" s="6"/>
      <c r="S71" s="6"/>
      <c r="T71" s="6"/>
      <c r="U71" s="6"/>
      <c r="V71" s="8"/>
      <c r="W71" s="40"/>
    </row>
    <row r="84" spans="37:37" x14ac:dyDescent="0.3">
      <c r="AK84" s="1"/>
    </row>
  </sheetData>
  <mergeCells count="7">
    <mergeCell ref="W1:AC1"/>
    <mergeCell ref="AD1:AJ1"/>
    <mergeCell ref="G64:H64"/>
    <mergeCell ref="A1:C1"/>
    <mergeCell ref="D1:F1"/>
    <mergeCell ref="I1:O1"/>
    <mergeCell ref="P1:V1"/>
  </mergeCells>
  <phoneticPr fontId="1" type="noConversion"/>
  <conditionalFormatting sqref="K5:L57 K66:L66">
    <cfRule type="containsText" dxfId="20" priority="7" operator="containsText" text="FALSE">
      <formula>NOT(ISERROR(SEARCH("FALSE",K5)))</formula>
    </cfRule>
    <cfRule type="containsText" dxfId="19" priority="8" operator="containsText" text="TRUE">
      <formula>NOT(ISERROR(SEARCH("TRUE",K5)))</formula>
    </cfRule>
  </conditionalFormatting>
  <conditionalFormatting sqref="R5:S57 R66:S66">
    <cfRule type="containsText" dxfId="18" priority="5" operator="containsText" text="FALSE">
      <formula>NOT(ISERROR(SEARCH("FALSE",R5)))</formula>
    </cfRule>
    <cfRule type="containsText" dxfId="17" priority="6" operator="containsText" text="TRUE">
      <formula>NOT(ISERROR(SEARCH("TRUE",R5)))</formula>
    </cfRule>
  </conditionalFormatting>
  <conditionalFormatting sqref="Y5:Z57 Y66:Z66">
    <cfRule type="containsText" dxfId="16" priority="3" operator="containsText" text="FALSE">
      <formula>NOT(ISERROR(SEARCH("FALSE",Y5)))</formula>
    </cfRule>
    <cfRule type="containsText" dxfId="15" priority="4" operator="containsText" text="TRUE">
      <formula>NOT(ISERROR(SEARCH("TRUE",Y5)))</formula>
    </cfRule>
  </conditionalFormatting>
  <conditionalFormatting sqref="AF5:AG57 AF66:AG66">
    <cfRule type="containsText" dxfId="14" priority="1" operator="containsText" text="FALSE">
      <formula>NOT(ISERROR(SEARCH("FALSE",AF5)))</formula>
    </cfRule>
    <cfRule type="containsText" dxfId="13" priority="2" operator="containsText" text="TRUE">
      <formula>NOT(ISERROR(SEARCH("TRUE",AF5)))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931D-A9D2-4654-9E1D-374C11C6241E}">
  <dimension ref="A1:AJ84"/>
  <sheetViews>
    <sheetView topLeftCell="F40" zoomScaleNormal="100" workbookViewId="0">
      <selection activeCell="AI70" sqref="AI70"/>
    </sheetView>
  </sheetViews>
  <sheetFormatPr defaultRowHeight="16.2" x14ac:dyDescent="0.3"/>
  <cols>
    <col min="2" max="2" width="9.44140625" bestFit="1" customWidth="1"/>
    <col min="5" max="5" width="9.44140625" bestFit="1" customWidth="1"/>
    <col min="7" max="7" width="9" style="1"/>
    <col min="9" max="9" width="8.77734375" style="1" customWidth="1"/>
    <col min="10" max="15" width="8.77734375" customWidth="1"/>
    <col min="16" max="16" width="8.77734375" style="1" customWidth="1"/>
    <col min="17" max="22" width="8.77734375" customWidth="1"/>
    <col min="23" max="23" width="8.77734375" style="1" customWidth="1"/>
    <col min="24" max="29" width="8.77734375" customWidth="1"/>
    <col min="30" max="30" width="8.77734375" style="1" customWidth="1"/>
    <col min="31" max="35" width="8.77734375" customWidth="1"/>
    <col min="36" max="36" width="8.77734375" style="2" customWidth="1"/>
  </cols>
  <sheetData>
    <row r="1" spans="1:36" x14ac:dyDescent="0.3">
      <c r="A1" s="31" t="s">
        <v>7</v>
      </c>
      <c r="B1" s="31"/>
      <c r="C1" s="31"/>
      <c r="D1" s="31" t="s">
        <v>11</v>
      </c>
      <c r="E1" s="31"/>
      <c r="F1" s="31"/>
      <c r="I1" s="35" t="s">
        <v>21</v>
      </c>
      <c r="J1" s="31"/>
      <c r="K1" s="31"/>
      <c r="L1" s="31"/>
      <c r="M1" s="31"/>
      <c r="N1" s="31"/>
      <c r="O1" s="36"/>
      <c r="P1" s="35" t="s">
        <v>17</v>
      </c>
      <c r="Q1" s="31"/>
      <c r="R1" s="31"/>
      <c r="S1" s="31"/>
      <c r="T1" s="31"/>
      <c r="U1" s="31"/>
      <c r="V1" s="36"/>
      <c r="W1" s="35" t="s">
        <v>18</v>
      </c>
      <c r="X1" s="31"/>
      <c r="Y1" s="31"/>
      <c r="Z1" s="31"/>
      <c r="AA1" s="31"/>
      <c r="AB1" s="31"/>
      <c r="AC1" s="36"/>
      <c r="AD1" s="35" t="s">
        <v>19</v>
      </c>
      <c r="AE1" s="31"/>
      <c r="AF1" s="31"/>
      <c r="AG1" s="31"/>
      <c r="AH1" s="31"/>
      <c r="AI1" s="31"/>
      <c r="AJ1" s="36"/>
    </row>
    <row r="2" spans="1:36" x14ac:dyDescent="0.3">
      <c r="A2" t="s">
        <v>10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P2" s="1">
        <v>1</v>
      </c>
      <c r="Q2">
        <v>0</v>
      </c>
      <c r="W2" s="1">
        <v>1</v>
      </c>
      <c r="X2">
        <v>0</v>
      </c>
      <c r="AD2" s="1">
        <v>1</v>
      </c>
      <c r="AE2">
        <v>0</v>
      </c>
    </row>
    <row r="3" spans="1:36" x14ac:dyDescent="0.3">
      <c r="A3">
        <v>0</v>
      </c>
      <c r="B3">
        <f>control!$B$3*COS('k3'!A3/180*PI())</f>
        <v>1</v>
      </c>
      <c r="C3">
        <f>control!$B$3*SIN('k3'!A3/180*PI())</f>
        <v>0</v>
      </c>
      <c r="D3">
        <v>0</v>
      </c>
      <c r="E3">
        <f>control!$B$2*COS('k3'!D3/180*PI())</f>
        <v>2</v>
      </c>
      <c r="F3">
        <f>control!$B$2*SIN('k3'!D3/180*PI())</f>
        <v>0</v>
      </c>
      <c r="G3" s="1" t="s">
        <v>14</v>
      </c>
      <c r="H3">
        <v>-1</v>
      </c>
      <c r="P3" s="1">
        <f>P2*control!$D$6/control!$B$12</f>
        <v>1.5625</v>
      </c>
      <c r="Q3">
        <v>0</v>
      </c>
      <c r="W3" s="1">
        <f>W2*control!$D$6/control!$B$13</f>
        <v>2.2097086912079615</v>
      </c>
      <c r="X3">
        <v>0</v>
      </c>
      <c r="AD3" s="1">
        <f>AD2*control!$D$6/control!$B$14</f>
        <v>1.5625</v>
      </c>
      <c r="AE3">
        <v>0</v>
      </c>
    </row>
    <row r="4" spans="1:36" x14ac:dyDescent="0.3">
      <c r="A4">
        <v>10</v>
      </c>
      <c r="B4">
        <f>control!$B$3*COS('k3'!A4/180*PI())</f>
        <v>0.98480775301220802</v>
      </c>
      <c r="C4">
        <f>control!$B$3*SIN('k3'!A4/180*PI())</f>
        <v>0.17364817766693033</v>
      </c>
      <c r="D4">
        <v>10</v>
      </c>
      <c r="E4">
        <f>control!$B$2*COS('k3'!D4/180*PI())</f>
        <v>1.969615506024416</v>
      </c>
      <c r="F4">
        <f>control!$B$2*SIN('k3'!D4/180*PI())</f>
        <v>0.34729635533386066</v>
      </c>
      <c r="H4">
        <f>H3*control!$B$9/2+control!$B$8</f>
        <v>-17.5</v>
      </c>
      <c r="I4" s="7" t="s">
        <v>33</v>
      </c>
      <c r="J4" s="6" t="s">
        <v>34</v>
      </c>
      <c r="K4" t="s">
        <v>115</v>
      </c>
      <c r="L4" t="s">
        <v>114</v>
      </c>
      <c r="M4" s="6" t="s">
        <v>12</v>
      </c>
      <c r="N4" s="6" t="s">
        <v>20</v>
      </c>
      <c r="O4" s="2" t="s">
        <v>51</v>
      </c>
      <c r="P4" s="7">
        <f>P3*COS(control!$C$12/180*PI())+Q3*COS(control!$E$12/180*PI())</f>
        <v>-1.5625</v>
      </c>
      <c r="Q4" s="6">
        <f>P3*SIN(control!$C$12/180*PI())+Q3*SIN(control!$E$12/180*PI())</f>
        <v>-1.9142944607947188E-16</v>
      </c>
      <c r="R4" t="s">
        <v>115</v>
      </c>
      <c r="S4" t="s">
        <v>114</v>
      </c>
      <c r="T4" s="6" t="s">
        <v>12</v>
      </c>
      <c r="U4" s="6" t="s">
        <v>20</v>
      </c>
      <c r="V4" s="8" t="s">
        <v>51</v>
      </c>
      <c r="W4" s="7">
        <f>W3*COS(control!$C$13/180*PI())+X3*COS(control!$E$13/180*PI())</f>
        <v>1.5625</v>
      </c>
      <c r="X4" s="6">
        <f>W3*SIN(control!$C$13/180*PI())+X3*SIN(control!$E$13/180*PI())</f>
        <v>1.5625000000000007</v>
      </c>
      <c r="Y4" t="s">
        <v>115</v>
      </c>
      <c r="Z4" t="s">
        <v>114</v>
      </c>
      <c r="AA4" s="6" t="s">
        <v>12</v>
      </c>
      <c r="AB4" s="6" t="s">
        <v>20</v>
      </c>
      <c r="AC4" s="2" t="s">
        <v>51</v>
      </c>
      <c r="AD4" s="7">
        <f>AD3*COS(control!$C$14/180*PI())+AE3*COS(control!$E$14/180*PI())</f>
        <v>9.5714723039735938E-17</v>
      </c>
      <c r="AE4" s="6">
        <f>AD3*SIN(control!$C$14/180*PI())+AE3*SIN(control!$E$14/180*PI())</f>
        <v>-1.5625</v>
      </c>
      <c r="AF4" t="s">
        <v>115</v>
      </c>
      <c r="AG4" t="s">
        <v>114</v>
      </c>
      <c r="AH4" s="6" t="s">
        <v>12</v>
      </c>
      <c r="AI4" s="6" t="s">
        <v>20</v>
      </c>
      <c r="AJ4" s="2" t="s">
        <v>51</v>
      </c>
    </row>
    <row r="5" spans="1:36" x14ac:dyDescent="0.3">
      <c r="A5">
        <v>20</v>
      </c>
      <c r="B5">
        <f>control!$B$3*COS('k3'!A5/180*PI())</f>
        <v>0.93969262078590843</v>
      </c>
      <c r="C5">
        <f>control!$B$3*SIN('k3'!A5/180*PI())</f>
        <v>0.34202014332566871</v>
      </c>
      <c r="D5">
        <v>20</v>
      </c>
      <c r="E5">
        <f>control!$B$2*COS('k3'!D5/180*PI())</f>
        <v>1.8793852415718169</v>
      </c>
      <c r="F5">
        <f>control!$B$2*SIN('k3'!D5/180*PI())</f>
        <v>0.68404028665133743</v>
      </c>
      <c r="G5" s="1">
        <v>-1</v>
      </c>
      <c r="H5">
        <f>G5*control!$C$9/2+control!$C$8</f>
        <v>-10</v>
      </c>
      <c r="I5" s="1">
        <f>control!$B$3*TAN('k3'!$H$4/180*PI())/SQRT(1+TAN('k3'!$H$4/180*PI())^2+TAN('k3'!H5/180*PI())^2)</f>
        <v>-0.29654195678697232</v>
      </c>
      <c r="J5">
        <f>control!$B$3*TAN('k3'!H5/180*PI())/SQRT(1+TAN('k3'!$H$4/180*PI())^2+TAN('k3'!H5/180*PI())^2)</f>
        <v>-0.16583745240358658</v>
      </c>
      <c r="K5" s="3" t="b">
        <f>(I5^2+J5^2)&gt;=1</f>
        <v>0</v>
      </c>
      <c r="L5" s="3" t="b">
        <f>(I5^2+J5^2)&lt;=control!$B$2^2</f>
        <v>1</v>
      </c>
      <c r="M5">
        <f>ASIN(SQRT(I5^2+J5^2)/control!$B$3)/PI()*180</f>
        <v>19.862462001023477</v>
      </c>
      <c r="N5">
        <f>ATAN2(I5,J5)/PI()*180</f>
        <v>-150.78443244019712</v>
      </c>
      <c r="O5" s="3">
        <f>ASIN((I5*$J$58-$I$58*J5)/(SQRT(I5^2+J5^2)*SQRT($I$58^2+$J$58^2)))/PI()*180</f>
        <v>60.784432440197115</v>
      </c>
      <c r="P5" s="1">
        <f t="shared" ref="P5:P15" si="0">I5+$P$4</f>
        <v>-1.8590419567869723</v>
      </c>
      <c r="Q5">
        <f t="shared" ref="Q5:Q15" si="1">J5+$Q$4</f>
        <v>-0.16583745240358677</v>
      </c>
      <c r="R5" s="3" t="b">
        <f>(P5^2+Q5^2)&gt;=1</f>
        <v>1</v>
      </c>
      <c r="S5" s="3" t="b">
        <f>(P5^2+Q5^2)&lt;=control!$B$2^2</f>
        <v>1</v>
      </c>
      <c r="T5">
        <f>ASIN(SQRT(P5^2+Q5^2)/control!$B$2)/PI()*180</f>
        <v>68.941185611324215</v>
      </c>
      <c r="U5">
        <f>ATAN2(P5,Q5)/PI()*180</f>
        <v>-174.90237342231381</v>
      </c>
      <c r="V5" s="5">
        <f>ASIN((P5*$Q$58-$P$58*Q5)/(SQRT(P5^2+Q5^2)*SQRT($P$58^2+$Q$58^2)))/PI()*180</f>
        <v>-5.097626577686178</v>
      </c>
      <c r="W5" s="1">
        <f t="shared" ref="W5:W15" si="2">P5+$W$4</f>
        <v>-0.29654195678697226</v>
      </c>
      <c r="X5">
        <f t="shared" ref="X5:X15" si="3">Q5+$X$4</f>
        <v>1.3966625475964138</v>
      </c>
      <c r="Y5" s="3" t="b">
        <f>(W5^2+X5^2)&gt;=1</f>
        <v>1</v>
      </c>
      <c r="Z5" s="3" t="b">
        <f>(W5^2+X5^2)&lt;=control!$B$2^2</f>
        <v>1</v>
      </c>
      <c r="AA5">
        <f>ASIN(SQRT(W5^2+X5^2)/control!$B$2)/PI()*180</f>
        <v>45.552987370975259</v>
      </c>
      <c r="AB5">
        <f>ATAN2(W5,X5)/PI()*180</f>
        <v>101.98713196626649</v>
      </c>
      <c r="AC5" s="5">
        <f>ASIN((W5*$X$58-$W$58*X5)/(SQRT(W5^2+X5^2)*SQRT($W$58^2+$X$58^2)))/PI()*180</f>
        <v>-11.987131966266494</v>
      </c>
      <c r="AD5" s="1">
        <f t="shared" ref="AD5:AD15" si="4">W5+$AD$4</f>
        <v>-0.29654195678697215</v>
      </c>
      <c r="AE5">
        <f t="shared" ref="AE5:AE15" si="5">X5+$AE$4</f>
        <v>-0.16583745240358616</v>
      </c>
      <c r="AF5" s="3" t="b">
        <f>(AD5^2+AE5^2)&gt;=1</f>
        <v>0</v>
      </c>
      <c r="AG5" s="3" t="b">
        <f>(AD5^2+AE5^2)&lt;=control!$B$2^2</f>
        <v>1</v>
      </c>
      <c r="AH5">
        <f>ASIN(SQRT(AD5^2+AE5^2)/control!$B$3)/PI()*180</f>
        <v>19.862462001023463</v>
      </c>
      <c r="AI5">
        <f>ATAN2(AD5,AE5)/PI()*180</f>
        <v>-150.78443244019718</v>
      </c>
      <c r="AJ5" s="5">
        <f>ASIN((AD5*$AE$58-$AD$58*AE5)/(SQRT(AD5^2+AE5^2)*SQRT($AD$58^2+$AE$58^2)))/PI()*180</f>
        <v>-48.519658712304761</v>
      </c>
    </row>
    <row r="6" spans="1:36" x14ac:dyDescent="0.3">
      <c r="A6">
        <v>30</v>
      </c>
      <c r="B6">
        <f>control!$B$3*COS('k3'!A6/180*PI())</f>
        <v>0.86602540378443871</v>
      </c>
      <c r="C6">
        <f>control!$B$3*SIN('k3'!A6/180*PI())</f>
        <v>0.49999999999999994</v>
      </c>
      <c r="D6">
        <v>30</v>
      </c>
      <c r="E6">
        <f>control!$B$2*COS('k3'!D6/180*PI())</f>
        <v>1.7320508075688774</v>
      </c>
      <c r="F6">
        <f>control!$B$2*SIN('k3'!D6/180*PI())</f>
        <v>0.99999999999999989</v>
      </c>
      <c r="G6" s="1">
        <v>-0.8</v>
      </c>
      <c r="H6">
        <f>G6*control!$C$9/2+control!$C$8</f>
        <v>-8</v>
      </c>
      <c r="I6" s="1">
        <f>control!$B$3*TAN('k3'!$H$4/180*PI())/SQRT(1+TAN('k3'!$H$4/180*PI())^2+TAN('k3'!H6/180*PI())^2)</f>
        <v>-0.29804046508194998</v>
      </c>
      <c r="J6">
        <f>control!$B$3*TAN('k3'!H6/180*PI())/SQRT(1+TAN('k3'!$H$4/180*PI())^2+TAN('k3'!H6/180*PI())^2)</f>
        <v>-0.13284813394504671</v>
      </c>
      <c r="K6" s="40" t="b">
        <f>(I6^2+J6^2)&gt;=1</f>
        <v>0</v>
      </c>
      <c r="L6" s="40" t="b">
        <f>(I6^2+J6^2)&lt;=control!$B$2^2</f>
        <v>1</v>
      </c>
      <c r="M6">
        <f>ASIN(SQRT(I6^2+J6^2)/control!$B$3)/PI()*180</f>
        <v>19.044823258221381</v>
      </c>
      <c r="N6">
        <f t="shared" ref="N6:N15" si="6">ATAN2(I6,J6)/PI()*180</f>
        <v>-155.97562290886725</v>
      </c>
      <c r="O6">
        <f t="shared" ref="O6:O15" si="7">ASIN((I6*$J$58-$I$58*J6)/(SQRT(I6^2+J6^2)*SQRT($I$58^2+$J$58^2)))/PI()*180</f>
        <v>65.975622908867265</v>
      </c>
      <c r="P6" s="1">
        <f t="shared" si="0"/>
        <v>-1.8605404650819499</v>
      </c>
      <c r="Q6">
        <f t="shared" si="1"/>
        <v>-0.13284813394504691</v>
      </c>
      <c r="R6" s="40" t="b">
        <f>(P6^2+Q6^2)&gt;=1</f>
        <v>1</v>
      </c>
      <c r="S6" s="40" t="b">
        <f>(P6^2+Q6^2)&lt;=control!$B$2^2</f>
        <v>1</v>
      </c>
      <c r="T6">
        <f>ASIN(SQRT(P6^2+Q6^2)/control!$B$2)/PI()*180</f>
        <v>68.849941661251123</v>
      </c>
      <c r="U6">
        <f t="shared" ref="U6:U15" si="8">ATAN2(P6,Q6)/PI()*180</f>
        <v>-175.91584205043918</v>
      </c>
      <c r="V6" s="2">
        <f t="shared" ref="V6:V43" si="9">ASIN((P6*$Q$58-$P$58*Q6)/(SQRT(P6^2+Q6^2)*SQRT($P$58^2+$Q$58^2)))/PI()*180</f>
        <v>-4.0841579495608062</v>
      </c>
      <c r="W6" s="1">
        <f t="shared" si="2"/>
        <v>-0.29804046508194992</v>
      </c>
      <c r="X6">
        <f t="shared" si="3"/>
        <v>1.4296518660549538</v>
      </c>
      <c r="Y6" s="40" t="b">
        <f>(W6^2+X6^2)&gt;=1</f>
        <v>1</v>
      </c>
      <c r="Z6" s="40" t="b">
        <f>(W6^2+X6^2)&lt;=control!$B$2^2</f>
        <v>1</v>
      </c>
      <c r="AA6">
        <f>ASIN(SQRT(W6^2+X6^2)/control!$B$2)/PI()*180</f>
        <v>46.902652563140443</v>
      </c>
      <c r="AB6">
        <f t="shared" ref="AB6:AB15" si="10">ATAN2(W6,X6)/PI()*180</f>
        <v>101.77582955045118</v>
      </c>
      <c r="AC6" s="2">
        <f t="shared" ref="AC6:AC15" si="11">ASIN((W6*$X$58-$W$58*X6)/(SQRT(W6^2+X6^2)*SQRT($W$58^2+$X$58^2)))/PI()*180</f>
        <v>-11.775829550451189</v>
      </c>
      <c r="AD6" s="1">
        <f t="shared" si="4"/>
        <v>-0.29804046508194981</v>
      </c>
      <c r="AE6">
        <f t="shared" si="5"/>
        <v>-0.13284813394504624</v>
      </c>
      <c r="AF6" s="40" t="b">
        <f>(AD6^2+AE6^2)&gt;=1</f>
        <v>0</v>
      </c>
      <c r="AG6" s="40" t="b">
        <f>(AD6^2+AE6^2)&lt;=control!$B$2^2</f>
        <v>1</v>
      </c>
      <c r="AH6">
        <f>ASIN(SQRT(AD6^2+AE6^2)/control!$B$3)/PI()*180</f>
        <v>19.044823258221363</v>
      </c>
      <c r="AI6">
        <f t="shared" ref="AI6:AI15" si="12">ATAN2(AD6,AE6)/PI()*180</f>
        <v>-155.97562290886734</v>
      </c>
      <c r="AJ6" s="2">
        <f t="shared" ref="AJ6:AJ15" si="13">ASIN((AD6*$AE$58-$AD$58*AE6)/(SQRT(AD6^2+AE6^2)*SQRT($AD$58^2+$AE$58^2)))/PI()*180</f>
        <v>-53.710849180974925</v>
      </c>
    </row>
    <row r="7" spans="1:36" x14ac:dyDescent="0.3">
      <c r="A7">
        <v>40</v>
      </c>
      <c r="B7">
        <f>control!$B$3*COS('k3'!A7/180*PI())</f>
        <v>0.76604444311897801</v>
      </c>
      <c r="C7">
        <f>control!$B$3*SIN('k3'!A7/180*PI())</f>
        <v>0.64278760968653925</v>
      </c>
      <c r="D7">
        <v>40</v>
      </c>
      <c r="E7">
        <f>control!$B$2*COS('k3'!D7/180*PI())</f>
        <v>1.532088886237956</v>
      </c>
      <c r="F7">
        <f>control!$B$2*SIN('k3'!D7/180*PI())</f>
        <v>1.2855752193730785</v>
      </c>
      <c r="G7" s="1">
        <v>-0.6</v>
      </c>
      <c r="H7">
        <f>G7*control!$C$9/2+control!$C$8</f>
        <v>-6</v>
      </c>
      <c r="I7" s="1">
        <f>control!$B$3*TAN('k3'!$H$4/180*PI())/SQRT(1+TAN('k3'!$H$4/180*PI())^2+TAN('k3'!H7/180*PI())^2)</f>
        <v>-0.29920634470024859</v>
      </c>
      <c r="J7">
        <f>control!$B$3*TAN('k3'!H7/180*PI())/SQRT(1+TAN('k3'!$H$4/180*PI())^2+TAN('k3'!H7/180*PI())^2)</f>
        <v>-9.9739850438906014E-2</v>
      </c>
      <c r="K7" s="40" t="b">
        <f t="shared" ref="K7:K15" si="14">(I7^2+J7^2)&gt;=1</f>
        <v>0</v>
      </c>
      <c r="L7" s="40" t="b">
        <f>(I7^2+J7^2)&lt;=control!$B$2^2</f>
        <v>1</v>
      </c>
      <c r="M7">
        <f>ASIN(SQRT(I7^2+J7^2)/control!$B$3)/PI()*180</f>
        <v>18.384514627439579</v>
      </c>
      <c r="N7">
        <f t="shared" si="6"/>
        <v>-161.5642924899123</v>
      </c>
      <c r="O7">
        <f t="shared" si="7"/>
        <v>71.564292489912305</v>
      </c>
      <c r="P7" s="1">
        <f t="shared" si="0"/>
        <v>-1.8617063447002486</v>
      </c>
      <c r="Q7">
        <f t="shared" si="1"/>
        <v>-9.9739850438906208E-2</v>
      </c>
      <c r="R7" s="40" t="b">
        <f t="shared" ref="R7:R15" si="15">(P7^2+Q7^2)&gt;=1</f>
        <v>1</v>
      </c>
      <c r="S7" s="40" t="b">
        <f>(P7^2+Q7^2)&lt;=control!$B$2^2</f>
        <v>1</v>
      </c>
      <c r="T7">
        <f>ASIN(SQRT(P7^2+Q7^2)/control!$B$2)/PI()*180</f>
        <v>68.778508548823638</v>
      </c>
      <c r="U7">
        <f t="shared" si="8"/>
        <v>-176.93334320000102</v>
      </c>
      <c r="V7" s="2">
        <f t="shared" si="9"/>
        <v>-3.0666567999989454</v>
      </c>
      <c r="W7" s="1">
        <f t="shared" si="2"/>
        <v>-0.29920634470024865</v>
      </c>
      <c r="X7">
        <f t="shared" si="3"/>
        <v>1.4627601495610945</v>
      </c>
      <c r="Y7" s="40" t="b">
        <f t="shared" ref="Y7:Y15" si="16">(W7^2+X7^2)&gt;=1</f>
        <v>1</v>
      </c>
      <c r="Z7" s="40" t="b">
        <f>(W7^2+X7^2)&lt;=control!$B$2^2</f>
        <v>1</v>
      </c>
      <c r="AA7">
        <f>ASIN(SQRT(W7^2+X7^2)/control!$B$2)/PI()*180</f>
        <v>48.290157308734592</v>
      </c>
      <c r="AB7">
        <f t="shared" si="10"/>
        <v>101.56033400452854</v>
      </c>
      <c r="AC7" s="2">
        <f t="shared" si="11"/>
        <v>-11.560334004528553</v>
      </c>
      <c r="AD7" s="1">
        <f t="shared" si="4"/>
        <v>-0.29920634470024854</v>
      </c>
      <c r="AE7">
        <f t="shared" si="5"/>
        <v>-9.9739850438905542E-2</v>
      </c>
      <c r="AF7" s="40" t="b">
        <f t="shared" ref="AF7:AF15" si="17">(AD7^2+AE7^2)&gt;=1</f>
        <v>0</v>
      </c>
      <c r="AG7" s="40" t="b">
        <f>(AD7^2+AE7^2)&lt;=control!$B$2^2</f>
        <v>1</v>
      </c>
      <c r="AH7">
        <f>ASIN(SQRT(AD7^2+AE7^2)/control!$B$3)/PI()*180</f>
        <v>18.384514627439568</v>
      </c>
      <c r="AI7">
        <f t="shared" si="12"/>
        <v>-161.56429248991236</v>
      </c>
      <c r="AJ7" s="2">
        <f t="shared" si="13"/>
        <v>-59.299518762019979</v>
      </c>
    </row>
    <row r="8" spans="1:36" x14ac:dyDescent="0.3">
      <c r="A8">
        <v>50</v>
      </c>
      <c r="B8">
        <f>control!$B$3*COS('k3'!A8/180*PI())</f>
        <v>0.64278760968653936</v>
      </c>
      <c r="C8">
        <f>control!$B$3*SIN('k3'!A8/180*PI())</f>
        <v>0.76604444311897801</v>
      </c>
      <c r="D8">
        <v>50</v>
      </c>
      <c r="E8">
        <f>control!$B$2*COS('k3'!D8/180*PI())</f>
        <v>1.2855752193730787</v>
      </c>
      <c r="F8">
        <f>control!$B$2*SIN('k3'!D8/180*PI())</f>
        <v>1.532088886237956</v>
      </c>
      <c r="G8" s="1">
        <v>-0.4</v>
      </c>
      <c r="H8">
        <f>G8*control!$C$9/2+control!$C$8</f>
        <v>-4</v>
      </c>
      <c r="I8" s="1">
        <f>control!$B$3*TAN('k3'!$H$4/180*PI())/SQRT(1+TAN('k3'!$H$4/180*PI())^2+TAN('k3'!H8/180*PI())^2)</f>
        <v>-0.30003931119635729</v>
      </c>
      <c r="J8">
        <f>control!$B$3*TAN('k3'!H8/180*PI())/SQRT(1+TAN('k3'!$H$4/180*PI())^2+TAN('k3'!H8/180*PI())^2)</f>
        <v>-6.6542572409755835E-2</v>
      </c>
      <c r="K8" s="40" t="b">
        <f t="shared" si="14"/>
        <v>0</v>
      </c>
      <c r="L8" s="40" t="b">
        <f>(I8^2+J8^2)&lt;=control!$B$2^2</f>
        <v>1</v>
      </c>
      <c r="M8">
        <f>ASIN(SQRT(I8^2+J8^2)/control!$B$3)/PI()*180</f>
        <v>17.898375135585169</v>
      </c>
      <c r="N8">
        <f t="shared" si="6"/>
        <v>-167.49536624454009</v>
      </c>
      <c r="O8">
        <f t="shared" si="7"/>
        <v>77.495366244540094</v>
      </c>
      <c r="P8" s="1">
        <f t="shared" si="0"/>
        <v>-1.8625393111963573</v>
      </c>
      <c r="Q8">
        <f t="shared" si="1"/>
        <v>-6.6542572409756029E-2</v>
      </c>
      <c r="R8" s="40" t="b">
        <f t="shared" si="15"/>
        <v>1</v>
      </c>
      <c r="S8" s="40" t="b">
        <f>(P8^2+Q8^2)&lt;=control!$B$2^2</f>
        <v>1</v>
      </c>
      <c r="T8">
        <f>ASIN(SQRT(P8^2+Q8^2)/control!$B$2)/PI()*180</f>
        <v>68.727237222039363</v>
      </c>
      <c r="U8">
        <f t="shared" si="8"/>
        <v>-177.95387531854783</v>
      </c>
      <c r="V8" s="2">
        <f t="shared" si="9"/>
        <v>-2.0461246814521372</v>
      </c>
      <c r="W8" s="1">
        <f t="shared" si="2"/>
        <v>-0.30003931119635729</v>
      </c>
      <c r="X8">
        <f t="shared" si="3"/>
        <v>1.4959574275902447</v>
      </c>
      <c r="Y8" s="40" t="b">
        <f t="shared" si="16"/>
        <v>1</v>
      </c>
      <c r="Z8" s="40" t="b">
        <f>(W8^2+X8^2)&lt;=control!$B$2^2</f>
        <v>1</v>
      </c>
      <c r="AA8">
        <f>ASIN(SQRT(W8^2+X8^2)/control!$B$2)/PI()*180</f>
        <v>49.718298980849312</v>
      </c>
      <c r="AB8">
        <f t="shared" si="10"/>
        <v>101.34115221178679</v>
      </c>
      <c r="AC8" s="2">
        <f t="shared" si="11"/>
        <v>-11.341152211786785</v>
      </c>
      <c r="AD8" s="1">
        <f t="shared" si="4"/>
        <v>-0.30003931119635718</v>
      </c>
      <c r="AE8">
        <f t="shared" si="5"/>
        <v>-6.6542572409755252E-2</v>
      </c>
      <c r="AF8" s="40" t="b">
        <f t="shared" si="17"/>
        <v>0</v>
      </c>
      <c r="AG8" s="40" t="b">
        <f>(AD8^2+AE8^2)&lt;=control!$B$2^2</f>
        <v>1</v>
      </c>
      <c r="AH8">
        <f>ASIN(SQRT(AD8^2+AE8^2)/control!$B$3)/PI()*180</f>
        <v>17.898375135585159</v>
      </c>
      <c r="AI8">
        <f t="shared" si="12"/>
        <v>-167.49536624454021</v>
      </c>
      <c r="AJ8" s="2">
        <f t="shared" si="13"/>
        <v>-65.230592516647818</v>
      </c>
    </row>
    <row r="9" spans="1:36" x14ac:dyDescent="0.3">
      <c r="A9">
        <v>60</v>
      </c>
      <c r="B9">
        <f>control!$B$3*COS('k3'!A9/180*PI())</f>
        <v>0.50000000000000011</v>
      </c>
      <c r="C9">
        <f>control!$B$3*SIN('k3'!A9/180*PI())</f>
        <v>0.8660254037844386</v>
      </c>
      <c r="D9">
        <v>60</v>
      </c>
      <c r="E9">
        <f>control!$B$2*COS('k3'!D9/180*PI())</f>
        <v>1.0000000000000002</v>
      </c>
      <c r="F9">
        <f>control!$B$2*SIN('k3'!D9/180*PI())</f>
        <v>1.7320508075688772</v>
      </c>
      <c r="G9" s="1">
        <v>-0.2</v>
      </c>
      <c r="H9">
        <f>G9*control!$C$9/2+control!$C$8</f>
        <v>-2</v>
      </c>
      <c r="I9" s="1">
        <f>control!$B$3*TAN('k3'!$H$4/180*PI())/SQRT(1+TAN('k3'!$H$4/180*PI())^2+TAN('k3'!H9/180*PI())^2)</f>
        <v>-0.30053916792201169</v>
      </c>
      <c r="J9">
        <f>control!$B$3*TAN('k3'!H9/180*PI())/SQRT(1+TAN('k3'!$H$4/180*PI())^2+TAN('k3'!H9/180*PI())^2)</f>
        <v>-3.3286074594705777E-2</v>
      </c>
      <c r="K9" s="40" t="b">
        <f t="shared" si="14"/>
        <v>0</v>
      </c>
      <c r="L9" s="40" t="b">
        <f>(I9^2+J9^2)&lt;=control!$B$2^2</f>
        <v>1</v>
      </c>
      <c r="M9">
        <f>ASIN(SQRT(I9^2+J9^2)/control!$B$3)/PI()*180</f>
        <v>17.600417800510527</v>
      </c>
      <c r="N9">
        <f t="shared" si="6"/>
        <v>-173.67999042485218</v>
      </c>
      <c r="O9">
        <f t="shared" si="7"/>
        <v>83.679990424852178</v>
      </c>
      <c r="P9" s="1">
        <f t="shared" si="0"/>
        <v>-1.8630391679220117</v>
      </c>
      <c r="Q9">
        <f t="shared" si="1"/>
        <v>-3.3286074594705971E-2</v>
      </c>
      <c r="R9" s="40" t="b">
        <f t="shared" si="15"/>
        <v>1</v>
      </c>
      <c r="S9" s="40" t="b">
        <f>(P9^2+Q9^2)&lt;=control!$B$2^2</f>
        <v>1</v>
      </c>
      <c r="T9">
        <f>ASIN(SQRT(P9^2+Q9^2)/control!$B$2)/PI()*180</f>
        <v>68.696375854331194</v>
      </c>
      <c r="U9">
        <f t="shared" si="8"/>
        <v>-178.97643123502652</v>
      </c>
      <c r="V9" s="2">
        <f t="shared" si="9"/>
        <v>-1.0235687649734806</v>
      </c>
      <c r="W9" s="1">
        <f t="shared" si="2"/>
        <v>-0.30053916792201174</v>
      </c>
      <c r="X9">
        <f t="shared" si="3"/>
        <v>1.5292139254052948</v>
      </c>
      <c r="Y9" s="40" t="b">
        <f t="shared" si="16"/>
        <v>1</v>
      </c>
      <c r="Z9" s="40" t="b">
        <f>(W9^2+X9^2)&lt;=control!$B$2^2</f>
        <v>1</v>
      </c>
      <c r="AA9">
        <f>ASIN(SQRT(W9^2+X9^2)/control!$B$2)/PI()*180</f>
        <v>51.19044345119601</v>
      </c>
      <c r="AB9">
        <f t="shared" si="10"/>
        <v>101.1187353487723</v>
      </c>
      <c r="AC9" s="2">
        <f t="shared" si="11"/>
        <v>-11.118735348772322</v>
      </c>
      <c r="AD9" s="1">
        <f t="shared" si="4"/>
        <v>-0.30053916792201163</v>
      </c>
      <c r="AE9">
        <f t="shared" si="5"/>
        <v>-3.3286074594705228E-2</v>
      </c>
      <c r="AF9" s="40" t="b">
        <f t="shared" si="17"/>
        <v>0</v>
      </c>
      <c r="AG9" s="40" t="b">
        <f>(AD9^2+AE9^2)&lt;=control!$B$2^2</f>
        <v>1</v>
      </c>
      <c r="AH9">
        <f>ASIN(SQRT(AD9^2+AE9^2)/control!$B$3)/PI()*180</f>
        <v>17.60041780051052</v>
      </c>
      <c r="AI9">
        <f t="shared" si="12"/>
        <v>-173.67999042485229</v>
      </c>
      <c r="AJ9" s="2">
        <f t="shared" si="13"/>
        <v>-71.415216696959902</v>
      </c>
    </row>
    <row r="10" spans="1:36" x14ac:dyDescent="0.3">
      <c r="A10">
        <v>70</v>
      </c>
      <c r="B10">
        <f>control!$B$3*COS('k3'!A10/180*PI())</f>
        <v>0.34202014332566882</v>
      </c>
      <c r="C10">
        <f>control!$B$3*SIN('k3'!A10/180*PI())</f>
        <v>0.93969262078590832</v>
      </c>
      <c r="D10">
        <v>70</v>
      </c>
      <c r="E10">
        <f>control!$B$2*COS('k3'!D10/180*PI())</f>
        <v>0.68404028665133765</v>
      </c>
      <c r="F10">
        <f>control!$B$2*SIN('k3'!D10/180*PI())</f>
        <v>1.8793852415718166</v>
      </c>
      <c r="G10" s="1">
        <v>0</v>
      </c>
      <c r="H10">
        <f>G10*control!$C$9/2+control!$C$8</f>
        <v>0</v>
      </c>
      <c r="I10" s="1">
        <f>control!$B$3*TAN('k3'!$H$4/180*PI())/SQRT(1+TAN('k3'!$H$4/180*PI())^2+TAN('k3'!H10/180*PI())^2)</f>
        <v>-0.30070579950427312</v>
      </c>
      <c r="J10">
        <f>control!$B$3*TAN('k3'!H10/180*PI())/SQRT(1+TAN('k3'!$H$4/180*PI())^2+TAN('k3'!H10/180*PI())^2)</f>
        <v>0</v>
      </c>
      <c r="K10" s="40" t="b">
        <f t="shared" si="14"/>
        <v>0</v>
      </c>
      <c r="L10" s="40" t="b">
        <f>(I10^2+J10^2)&lt;=control!$B$2^2</f>
        <v>1</v>
      </c>
      <c r="M10">
        <f>ASIN(SQRT(I10^2+J10^2)/control!$B$3)/PI()*180</f>
        <v>17.5</v>
      </c>
      <c r="N10">
        <f t="shared" si="6"/>
        <v>180</v>
      </c>
      <c r="O10">
        <f t="shared" si="7"/>
        <v>90</v>
      </c>
      <c r="P10" s="1">
        <f t="shared" si="0"/>
        <v>-1.8632057995042732</v>
      </c>
      <c r="Q10">
        <f t="shared" si="1"/>
        <v>-1.9142944607947188E-16</v>
      </c>
      <c r="R10" s="40" t="b">
        <f t="shared" si="15"/>
        <v>1</v>
      </c>
      <c r="S10" s="40" t="b">
        <f>(P10^2+Q10^2)&lt;=control!$B$2^2</f>
        <v>1</v>
      </c>
      <c r="T10">
        <f>ASIN(SQRT(P10^2+Q10^2)/control!$B$2)/PI()*180</f>
        <v>68.68607235286045</v>
      </c>
      <c r="U10">
        <f t="shared" si="8"/>
        <v>-180</v>
      </c>
      <c r="V10" s="2">
        <f t="shared" si="9"/>
        <v>8.2139734418609876E-16</v>
      </c>
      <c r="W10" s="1">
        <f t="shared" si="2"/>
        <v>-0.30070579950427323</v>
      </c>
      <c r="X10">
        <f t="shared" si="3"/>
        <v>1.5625000000000004</v>
      </c>
      <c r="Y10" s="40" t="b">
        <f t="shared" si="16"/>
        <v>1</v>
      </c>
      <c r="Z10" s="40" t="b">
        <f>(W10^2+X10^2)&lt;=control!$B$2^2</f>
        <v>1</v>
      </c>
      <c r="AA10">
        <f>ASIN(SQRT(W10^2+X10^2)/control!$B$2)/PI()*180</f>
        <v>52.710668050208504</v>
      </c>
      <c r="AB10">
        <f t="shared" si="10"/>
        <v>100.89348426119115</v>
      </c>
      <c r="AC10" s="2">
        <f t="shared" si="11"/>
        <v>-10.893484261191162</v>
      </c>
      <c r="AD10" s="1">
        <f t="shared" si="4"/>
        <v>-0.30070579950427312</v>
      </c>
      <c r="AE10">
        <f t="shared" si="5"/>
        <v>0</v>
      </c>
      <c r="AF10" s="40" t="b">
        <f t="shared" si="17"/>
        <v>0</v>
      </c>
      <c r="AG10" s="40" t="b">
        <f>(AD10^2+AE10^2)&lt;=control!$B$2^2</f>
        <v>1</v>
      </c>
      <c r="AH10">
        <f>ASIN(SQRT(AD10^2+AE10^2)/control!$B$3)/PI()*180</f>
        <v>17.5</v>
      </c>
      <c r="AI10">
        <f t="shared" si="12"/>
        <v>180</v>
      </c>
      <c r="AJ10" s="2">
        <f t="shared" si="13"/>
        <v>-77.735226272107639</v>
      </c>
    </row>
    <row r="11" spans="1:36" x14ac:dyDescent="0.3">
      <c r="A11">
        <v>80</v>
      </c>
      <c r="B11">
        <f>control!$B$3*COS('k3'!A11/180*PI())</f>
        <v>0.17364817766693041</v>
      </c>
      <c r="C11">
        <f>control!$B$3*SIN('k3'!A11/180*PI())</f>
        <v>0.98480775301220802</v>
      </c>
      <c r="D11">
        <v>80</v>
      </c>
      <c r="E11">
        <f>control!$B$2*COS('k3'!D11/180*PI())</f>
        <v>0.34729635533386083</v>
      </c>
      <c r="F11">
        <f>control!$B$2*SIN('k3'!D11/180*PI())</f>
        <v>1.969615506024416</v>
      </c>
      <c r="G11" s="1">
        <v>0.2</v>
      </c>
      <c r="H11">
        <f>G11*control!$C$9/2+control!$C$8</f>
        <v>2</v>
      </c>
      <c r="I11" s="1">
        <f>control!$B$3*TAN('k3'!$H$4/180*PI())/SQRT(1+TAN('k3'!$H$4/180*PI())^2+TAN('k3'!H11/180*PI())^2)</f>
        <v>-0.30053916792201169</v>
      </c>
      <c r="J11">
        <f>control!$B$3*TAN('k3'!H11/180*PI())/SQRT(1+TAN('k3'!$H$4/180*PI())^2+TAN('k3'!H11/180*PI())^2)</f>
        <v>3.3286074594705777E-2</v>
      </c>
      <c r="K11" s="40" t="b">
        <f t="shared" si="14"/>
        <v>0</v>
      </c>
      <c r="L11" s="40" t="b">
        <f>(I11^2+J11^2)&lt;=control!$B$2^2</f>
        <v>1</v>
      </c>
      <c r="M11">
        <f>ASIN(SQRT(I11^2+J11^2)/control!$B$3)/PI()*180</f>
        <v>17.600417800510527</v>
      </c>
      <c r="N11">
        <f t="shared" si="6"/>
        <v>173.67999042485218</v>
      </c>
      <c r="O11">
        <f t="shared" si="7"/>
        <v>83.679990424852178</v>
      </c>
      <c r="P11" s="1">
        <f t="shared" si="0"/>
        <v>-1.8630391679220117</v>
      </c>
      <c r="Q11">
        <f t="shared" si="1"/>
        <v>3.3286074594705582E-2</v>
      </c>
      <c r="R11" s="40" t="b">
        <f t="shared" si="15"/>
        <v>1</v>
      </c>
      <c r="S11" s="40" t="b">
        <f>(P11^2+Q11^2)&lt;=control!$B$2^2</f>
        <v>1</v>
      </c>
      <c r="T11">
        <f>ASIN(SQRT(P11^2+Q11^2)/control!$B$2)/PI()*180</f>
        <v>68.696375854331194</v>
      </c>
      <c r="U11">
        <f t="shared" si="8"/>
        <v>178.97643123502652</v>
      </c>
      <c r="V11" s="2">
        <f t="shared" si="9"/>
        <v>1.0235687649734819</v>
      </c>
      <c r="W11" s="1">
        <f t="shared" si="2"/>
        <v>-0.30053916792201174</v>
      </c>
      <c r="X11">
        <f t="shared" si="3"/>
        <v>1.5957860745947063</v>
      </c>
      <c r="Y11" s="40" t="b">
        <f t="shared" si="16"/>
        <v>1</v>
      </c>
      <c r="Z11" s="40" t="b">
        <f>(W11^2+X11^2)&lt;=control!$B$2^2</f>
        <v>1</v>
      </c>
      <c r="AA11">
        <f>ASIN(SQRT(W11^2+X11^2)/control!$B$2)/PI()*180</f>
        <v>54.283956718129232</v>
      </c>
      <c r="AB11">
        <f t="shared" si="10"/>
        <v>100.66575438815015</v>
      </c>
      <c r="AC11" s="2">
        <f t="shared" si="11"/>
        <v>-10.665754388150152</v>
      </c>
      <c r="AD11" s="1">
        <f t="shared" si="4"/>
        <v>-0.30053916792201163</v>
      </c>
      <c r="AE11">
        <f t="shared" si="5"/>
        <v>3.3286074594706339E-2</v>
      </c>
      <c r="AF11" s="40" t="b">
        <f t="shared" si="17"/>
        <v>0</v>
      </c>
      <c r="AG11" s="40" t="b">
        <f>(AD11^2+AE11^2)&lt;=control!$B$2^2</f>
        <v>1</v>
      </c>
      <c r="AH11">
        <f>ASIN(SQRT(AD11^2+AE11^2)/control!$B$3)/PI()*180</f>
        <v>17.600417800510527</v>
      </c>
      <c r="AI11">
        <f t="shared" si="12"/>
        <v>173.67999042485209</v>
      </c>
      <c r="AJ11" s="2">
        <f t="shared" si="13"/>
        <v>-84.05523584725556</v>
      </c>
    </row>
    <row r="12" spans="1:36" x14ac:dyDescent="0.3">
      <c r="A12">
        <v>90</v>
      </c>
      <c r="B12">
        <f>control!$B$3*COS('k3'!A12/180*PI())</f>
        <v>6.1257422745431001E-17</v>
      </c>
      <c r="C12">
        <f>control!$B$3*SIN('k3'!A12/180*PI())</f>
        <v>1</v>
      </c>
      <c r="D12">
        <v>90</v>
      </c>
      <c r="E12">
        <f>control!$B$2*COS('k3'!D12/180*PI())</f>
        <v>1.22514845490862E-16</v>
      </c>
      <c r="F12">
        <f>control!$B$2*SIN('k3'!D12/180*PI())</f>
        <v>2</v>
      </c>
      <c r="G12" s="1">
        <v>0.4</v>
      </c>
      <c r="H12">
        <f>G12*control!$C$9/2+control!$C$8</f>
        <v>4</v>
      </c>
      <c r="I12" s="1">
        <f>control!$B$3*TAN('k3'!$H$4/180*PI())/SQRT(1+TAN('k3'!$H$4/180*PI())^2+TAN('k3'!H12/180*PI())^2)</f>
        <v>-0.30003931119635729</v>
      </c>
      <c r="J12">
        <f>control!$B$3*TAN('k3'!H12/180*PI())/SQRT(1+TAN('k3'!$H$4/180*PI())^2+TAN('k3'!H12/180*PI())^2)</f>
        <v>6.6542572409755835E-2</v>
      </c>
      <c r="K12" s="40" t="b">
        <f t="shared" si="14"/>
        <v>0</v>
      </c>
      <c r="L12" s="40" t="b">
        <f>(I12^2+J12^2)&lt;=control!$B$2^2</f>
        <v>1</v>
      </c>
      <c r="M12">
        <f>ASIN(SQRT(I12^2+J12^2)/control!$B$3)/PI()*180</f>
        <v>17.898375135585169</v>
      </c>
      <c r="N12">
        <f t="shared" si="6"/>
        <v>167.49536624454009</v>
      </c>
      <c r="O12">
        <f t="shared" si="7"/>
        <v>77.495366244540094</v>
      </c>
      <c r="P12" s="1">
        <f t="shared" si="0"/>
        <v>-1.8625393111963573</v>
      </c>
      <c r="Q12">
        <f t="shared" si="1"/>
        <v>6.654257240975564E-2</v>
      </c>
      <c r="R12" s="40" t="b">
        <f t="shared" si="15"/>
        <v>1</v>
      </c>
      <c r="S12" s="40" t="b">
        <f>(P12^2+Q12^2)&lt;=control!$B$2^2</f>
        <v>1</v>
      </c>
      <c r="T12">
        <f>ASIN(SQRT(P12^2+Q12^2)/control!$B$2)/PI()*180</f>
        <v>68.727237222039363</v>
      </c>
      <c r="U12">
        <f t="shared" si="8"/>
        <v>177.95387531854789</v>
      </c>
      <c r="V12" s="2">
        <f t="shared" si="9"/>
        <v>2.046124681452139</v>
      </c>
      <c r="W12" s="1">
        <f t="shared" si="2"/>
        <v>-0.30003931119635729</v>
      </c>
      <c r="X12">
        <f t="shared" si="3"/>
        <v>1.6290425724097564</v>
      </c>
      <c r="Y12" s="40" t="b">
        <f t="shared" si="16"/>
        <v>1</v>
      </c>
      <c r="Z12" s="40" t="b">
        <f>(W12^2+X12^2)&lt;=control!$B$2^2</f>
        <v>1</v>
      </c>
      <c r="AA12">
        <f>ASIN(SQRT(W12^2+X12^2)/control!$B$2)/PI()*180</f>
        <v>55.916472290142558</v>
      </c>
      <c r="AB12">
        <f t="shared" si="10"/>
        <v>100.43586026217089</v>
      </c>
      <c r="AC12" s="2">
        <f t="shared" si="11"/>
        <v>-10.435860262170909</v>
      </c>
      <c r="AD12" s="1">
        <f t="shared" si="4"/>
        <v>-0.30003931119635718</v>
      </c>
      <c r="AE12">
        <f t="shared" si="5"/>
        <v>6.6542572409756362E-2</v>
      </c>
      <c r="AF12" s="40" t="b">
        <f t="shared" si="17"/>
        <v>0</v>
      </c>
      <c r="AG12" s="40" t="b">
        <f>(AD12^2+AE12^2)&lt;=control!$B$2^2</f>
        <v>1</v>
      </c>
      <c r="AH12">
        <f>ASIN(SQRT(AD12^2+AE12^2)/control!$B$3)/PI()*180</f>
        <v>17.898375135585169</v>
      </c>
      <c r="AI12">
        <f t="shared" si="12"/>
        <v>167.49536624454001</v>
      </c>
      <c r="AJ12" s="2">
        <f t="shared" si="13"/>
        <v>-89.760139972435766</v>
      </c>
    </row>
    <row r="13" spans="1:36" x14ac:dyDescent="0.3">
      <c r="A13">
        <v>100</v>
      </c>
      <c r="B13">
        <f>control!$B$3*COS('k3'!A13/180*PI())</f>
        <v>-0.1736481776669303</v>
      </c>
      <c r="C13">
        <f>control!$B$3*SIN('k3'!A13/180*PI())</f>
        <v>0.98480775301220802</v>
      </c>
      <c r="D13">
        <v>100</v>
      </c>
      <c r="E13">
        <f>control!$B$2*COS('k3'!D13/180*PI())</f>
        <v>-0.34729635533386061</v>
      </c>
      <c r="F13">
        <f>control!$B$2*SIN('k3'!D13/180*PI())</f>
        <v>1.969615506024416</v>
      </c>
      <c r="G13" s="1">
        <v>0.6</v>
      </c>
      <c r="H13">
        <f>G13*control!$C$9/2+control!$C$8</f>
        <v>6</v>
      </c>
      <c r="I13" s="1">
        <f>control!$B$3*TAN('k3'!$H$4/180*PI())/SQRT(1+TAN('k3'!$H$4/180*PI())^2+TAN('k3'!H13/180*PI())^2)</f>
        <v>-0.29920634470024859</v>
      </c>
      <c r="J13">
        <f>control!$B$3*TAN('k3'!H13/180*PI())/SQRT(1+TAN('k3'!$H$4/180*PI())^2+TAN('k3'!H13/180*PI())^2)</f>
        <v>9.9739850438906014E-2</v>
      </c>
      <c r="K13" s="40" t="b">
        <f t="shared" si="14"/>
        <v>0</v>
      </c>
      <c r="L13" s="40" t="b">
        <f>(I13^2+J13^2)&lt;=control!$B$2^2</f>
        <v>1</v>
      </c>
      <c r="M13">
        <f>ASIN(SQRT(I13^2+J13^2)/control!$B$3)/PI()*180</f>
        <v>18.384514627439579</v>
      </c>
      <c r="N13">
        <f t="shared" si="6"/>
        <v>161.5642924899123</v>
      </c>
      <c r="O13">
        <f t="shared" si="7"/>
        <v>71.564292489912305</v>
      </c>
      <c r="P13" s="1">
        <f t="shared" si="0"/>
        <v>-1.8617063447002486</v>
      </c>
      <c r="Q13">
        <f t="shared" si="1"/>
        <v>9.9739850438905819E-2</v>
      </c>
      <c r="R13" s="40" t="b">
        <f t="shared" si="15"/>
        <v>1</v>
      </c>
      <c r="S13" s="40" t="b">
        <f>(P13^2+Q13^2)&lt;=control!$B$2^2</f>
        <v>1</v>
      </c>
      <c r="T13">
        <f>ASIN(SQRT(P13^2+Q13^2)/control!$B$2)/PI()*180</f>
        <v>68.778508548823638</v>
      </c>
      <c r="U13">
        <f t="shared" si="8"/>
        <v>176.93334320000108</v>
      </c>
      <c r="V13" s="2">
        <f t="shared" si="9"/>
        <v>3.0666567999989458</v>
      </c>
      <c r="W13" s="1">
        <f t="shared" si="2"/>
        <v>-0.29920634470024865</v>
      </c>
      <c r="X13">
        <f t="shared" si="3"/>
        <v>1.6622398504389064</v>
      </c>
      <c r="Y13" s="40" t="b">
        <f t="shared" si="16"/>
        <v>1</v>
      </c>
      <c r="Z13" s="40" t="b">
        <f>(W13^2+X13^2)&lt;=control!$B$2^2</f>
        <v>1</v>
      </c>
      <c r="AA13">
        <f>ASIN(SQRT(W13^2+X13^2)/control!$B$2)/PI()*180</f>
        <v>57.615946245986954</v>
      </c>
      <c r="AB13">
        <f t="shared" si="10"/>
        <v>100.20407961348045</v>
      </c>
      <c r="AC13" s="2">
        <f t="shared" si="11"/>
        <v>-10.204079613480447</v>
      </c>
      <c r="AD13" s="1">
        <f t="shared" si="4"/>
        <v>-0.29920634470024854</v>
      </c>
      <c r="AE13">
        <f t="shared" si="5"/>
        <v>9.973985043890643E-2</v>
      </c>
      <c r="AF13" s="40" t="b">
        <f t="shared" si="17"/>
        <v>0</v>
      </c>
      <c r="AG13" s="40" t="b">
        <f>(AD13^2+AE13^2)&lt;=control!$B$2^2</f>
        <v>1</v>
      </c>
      <c r="AH13">
        <f>ASIN(SQRT(AD13^2+AE13^2)/control!$B$3)/PI()*180</f>
        <v>18.384514627439582</v>
      </c>
      <c r="AI13">
        <f t="shared" si="12"/>
        <v>161.56429248991222</v>
      </c>
      <c r="AJ13" s="2">
        <f t="shared" si="13"/>
        <v>-83.82906621780468</v>
      </c>
    </row>
    <row r="14" spans="1:36" x14ac:dyDescent="0.3">
      <c r="A14">
        <v>110</v>
      </c>
      <c r="B14">
        <f>control!$B$3*COS('k3'!A14/180*PI())</f>
        <v>-0.34202014332566871</v>
      </c>
      <c r="C14">
        <f>control!$B$3*SIN('k3'!A14/180*PI())</f>
        <v>0.93969262078590843</v>
      </c>
      <c r="D14">
        <v>110</v>
      </c>
      <c r="E14">
        <f>control!$B$2*COS('k3'!D14/180*PI())</f>
        <v>-0.68404028665133743</v>
      </c>
      <c r="F14">
        <f>control!$B$2*SIN('k3'!D14/180*PI())</f>
        <v>1.8793852415718169</v>
      </c>
      <c r="G14" s="1">
        <v>0.8</v>
      </c>
      <c r="H14">
        <f>G14*control!$C$9/2+control!$C$8</f>
        <v>8</v>
      </c>
      <c r="I14" s="1">
        <f>control!$B$3*TAN('k3'!$H$4/180*PI())/SQRT(1+TAN('k3'!$H$4/180*PI())^2+TAN('k3'!H14/180*PI())^2)</f>
        <v>-0.29804046508194998</v>
      </c>
      <c r="J14">
        <f>control!$B$3*TAN('k3'!H14/180*PI())/SQRT(1+TAN('k3'!$H$4/180*PI())^2+TAN('k3'!H14/180*PI())^2)</f>
        <v>0.13284813394504671</v>
      </c>
      <c r="K14" s="40" t="b">
        <f t="shared" si="14"/>
        <v>0</v>
      </c>
      <c r="L14" s="40" t="b">
        <f>(I14^2+J14^2)&lt;=control!$B$2^2</f>
        <v>1</v>
      </c>
      <c r="M14">
        <f>ASIN(SQRT(I14^2+J14^2)/control!$B$3)/PI()*180</f>
        <v>19.044823258221381</v>
      </c>
      <c r="N14">
        <f t="shared" si="6"/>
        <v>155.97562290886725</v>
      </c>
      <c r="O14">
        <f t="shared" si="7"/>
        <v>65.975622908867265</v>
      </c>
      <c r="P14" s="1">
        <f t="shared" si="0"/>
        <v>-1.8605404650819499</v>
      </c>
      <c r="Q14">
        <f t="shared" si="1"/>
        <v>0.13284813394504652</v>
      </c>
      <c r="R14" s="40" t="b">
        <f t="shared" si="15"/>
        <v>1</v>
      </c>
      <c r="S14" s="40" t="b">
        <f>(P14^2+Q14^2)&lt;=control!$B$2^2</f>
        <v>1</v>
      </c>
      <c r="T14">
        <f>ASIN(SQRT(P14^2+Q14^2)/control!$B$2)/PI()*180</f>
        <v>68.849941661251123</v>
      </c>
      <c r="U14">
        <f t="shared" si="8"/>
        <v>175.91584205043918</v>
      </c>
      <c r="V14" s="2">
        <f t="shared" si="9"/>
        <v>4.0841579495608062</v>
      </c>
      <c r="W14" s="1">
        <f t="shared" si="2"/>
        <v>-0.29804046508194992</v>
      </c>
      <c r="X14">
        <f t="shared" si="3"/>
        <v>1.6953481339450471</v>
      </c>
      <c r="Y14" s="40" t="b">
        <f t="shared" si="16"/>
        <v>1</v>
      </c>
      <c r="Z14" s="40" t="b">
        <f>(W14^2+X14^2)&lt;=control!$B$2^2</f>
        <v>1</v>
      </c>
      <c r="AA14">
        <f>ASIN(SQRT(W14^2+X14^2)/control!$B$2)/PI()*180</f>
        <v>59.392253737509002</v>
      </c>
      <c r="AB14">
        <f t="shared" si="10"/>
        <v>99.970657107265112</v>
      </c>
      <c r="AC14" s="2">
        <f t="shared" si="11"/>
        <v>-9.9706571072651027</v>
      </c>
      <c r="AD14" s="1">
        <f t="shared" si="4"/>
        <v>-0.29804046508194981</v>
      </c>
      <c r="AE14">
        <f t="shared" si="5"/>
        <v>0.13284813394504713</v>
      </c>
      <c r="AF14" s="40" t="b">
        <f t="shared" si="17"/>
        <v>0</v>
      </c>
      <c r="AG14" s="40" t="b">
        <f>(AD14^2+AE14^2)&lt;=control!$B$2^2</f>
        <v>1</v>
      </c>
      <c r="AH14">
        <f>ASIN(SQRT(AD14^2+AE14^2)/control!$B$3)/PI()*180</f>
        <v>19.044823258221381</v>
      </c>
      <c r="AI14">
        <f t="shared" si="12"/>
        <v>155.97562290886717</v>
      </c>
      <c r="AJ14" s="2">
        <f t="shared" si="13"/>
        <v>-78.240396636759627</v>
      </c>
    </row>
    <row r="15" spans="1:36" x14ac:dyDescent="0.3">
      <c r="A15">
        <v>120</v>
      </c>
      <c r="B15">
        <f>control!$B$3*COS('k3'!A15/180*PI())</f>
        <v>-0.49999999999999978</v>
      </c>
      <c r="C15">
        <f>control!$B$3*SIN('k3'!A15/180*PI())</f>
        <v>0.86602540378443871</v>
      </c>
      <c r="D15">
        <v>120</v>
      </c>
      <c r="E15">
        <f>control!$B$2*COS('k3'!D15/180*PI())</f>
        <v>-0.99999999999999956</v>
      </c>
      <c r="F15">
        <f>control!$B$2*SIN('k3'!D15/180*PI())</f>
        <v>1.7320508075688774</v>
      </c>
      <c r="G15" s="1">
        <v>1</v>
      </c>
      <c r="H15">
        <f>G15*control!$C$9/2+control!$C$8</f>
        <v>10</v>
      </c>
      <c r="I15" s="7">
        <f>control!$B$3*TAN('k3'!$H$4/180*PI())/SQRT(1+TAN('k3'!$H$4/180*PI())^2+TAN('k3'!H15/180*PI())^2)</f>
        <v>-0.29654195678697232</v>
      </c>
      <c r="J15" s="6">
        <f>control!$B$3*TAN('k3'!H15/180*PI())/SQRT(1+TAN('k3'!$H$4/180*PI())^2+TAN('k3'!H15/180*PI())^2)</f>
        <v>0.16583745240358658</v>
      </c>
      <c r="K15" s="6" t="b">
        <f t="shared" si="14"/>
        <v>0</v>
      </c>
      <c r="L15" s="6" t="b">
        <f>(I15^2+J15^2)&lt;=control!$B$2^2</f>
        <v>1</v>
      </c>
      <c r="M15" s="6">
        <f>ASIN(SQRT(I15^2+J15^2)/control!$B$3)/PI()*180</f>
        <v>19.862462001023477</v>
      </c>
      <c r="N15" s="6">
        <f t="shared" si="6"/>
        <v>150.78443244019712</v>
      </c>
      <c r="O15" s="6">
        <f t="shared" si="7"/>
        <v>60.784432440197115</v>
      </c>
      <c r="P15" s="7">
        <f t="shared" si="0"/>
        <v>-1.8590419567869723</v>
      </c>
      <c r="Q15" s="6">
        <f t="shared" si="1"/>
        <v>0.16583745240358638</v>
      </c>
      <c r="R15" s="6" t="b">
        <f t="shared" si="15"/>
        <v>1</v>
      </c>
      <c r="S15" s="6" t="b">
        <f>(P15^2+Q15^2)&lt;=control!$B$2^2</f>
        <v>1</v>
      </c>
      <c r="T15" s="6">
        <f>ASIN(SQRT(P15^2+Q15^2)/control!$B$2)/PI()*180</f>
        <v>68.941185611324215</v>
      </c>
      <c r="U15" s="6">
        <f t="shared" si="8"/>
        <v>174.90237342231381</v>
      </c>
      <c r="V15" s="8">
        <f t="shared" si="9"/>
        <v>5.0976265776861789</v>
      </c>
      <c r="W15" s="7">
        <f t="shared" si="2"/>
        <v>-0.29654195678697226</v>
      </c>
      <c r="X15" s="6">
        <f t="shared" si="3"/>
        <v>1.728337452403587</v>
      </c>
      <c r="Y15" s="6" t="b">
        <f t="shared" si="16"/>
        <v>1</v>
      </c>
      <c r="Z15" s="6" t="b">
        <f>(W15^2+X15^2)&lt;=control!$B$2^2</f>
        <v>1</v>
      </c>
      <c r="AA15" s="6">
        <f>ASIN(SQRT(W15^2+X15^2)/control!$B$2)/PI()*180</f>
        <v>61.258293329890343</v>
      </c>
      <c r="AB15" s="6">
        <f t="shared" si="10"/>
        <v>99.735807742106388</v>
      </c>
      <c r="AC15" s="8">
        <f t="shared" si="11"/>
        <v>-9.7358077421063971</v>
      </c>
      <c r="AD15" s="7">
        <f t="shared" si="4"/>
        <v>-0.29654195678697215</v>
      </c>
      <c r="AE15" s="6">
        <f t="shared" si="5"/>
        <v>0.16583745240358705</v>
      </c>
      <c r="AF15" s="6" t="b">
        <f t="shared" si="17"/>
        <v>0</v>
      </c>
      <c r="AG15" s="6" t="b">
        <f>(AD15^2+AE15^2)&lt;=control!$B$2^2</f>
        <v>1</v>
      </c>
      <c r="AH15" s="6">
        <f>ASIN(SQRT(AD15^2+AE15^2)/control!$B$3)/PI()*180</f>
        <v>19.862462001023484</v>
      </c>
      <c r="AI15" s="6">
        <f t="shared" si="12"/>
        <v>150.78443244019701</v>
      </c>
      <c r="AJ15" s="8">
        <f t="shared" si="13"/>
        <v>-73.049206168089455</v>
      </c>
    </row>
    <row r="16" spans="1:36" x14ac:dyDescent="0.3">
      <c r="A16">
        <v>130</v>
      </c>
      <c r="B16">
        <f>control!$B$3*COS('k3'!A16/180*PI())</f>
        <v>-0.64278760968653936</v>
      </c>
      <c r="C16">
        <f>control!$B$3*SIN('k3'!A16/180*PI())</f>
        <v>0.76604444311897801</v>
      </c>
      <c r="D16">
        <v>130</v>
      </c>
      <c r="E16">
        <f>control!$B$2*COS('k3'!D16/180*PI())</f>
        <v>-1.2855752193730787</v>
      </c>
      <c r="F16">
        <f>control!$B$2*SIN('k3'!D16/180*PI())</f>
        <v>1.532088886237956</v>
      </c>
      <c r="L16" s="40"/>
      <c r="O16" s="2"/>
      <c r="S16" s="40"/>
      <c r="V16" s="2"/>
      <c r="Z16" s="40"/>
      <c r="AC16" s="2"/>
      <c r="AG16" s="40"/>
    </row>
    <row r="17" spans="1:36" x14ac:dyDescent="0.3">
      <c r="A17">
        <v>140</v>
      </c>
      <c r="B17">
        <f>control!$B$3*COS('k3'!A17/180*PI())</f>
        <v>-0.7660444431189779</v>
      </c>
      <c r="C17">
        <f>control!$B$3*SIN('k3'!A17/180*PI())</f>
        <v>0.64278760968653947</v>
      </c>
      <c r="D17">
        <v>140</v>
      </c>
      <c r="E17">
        <f>control!$B$2*COS('k3'!D17/180*PI())</f>
        <v>-1.5320888862379558</v>
      </c>
      <c r="F17">
        <f>control!$B$2*SIN('k3'!D17/180*PI())</f>
        <v>1.2855752193730789</v>
      </c>
      <c r="G17" s="1" t="s">
        <v>16</v>
      </c>
      <c r="H17">
        <v>1</v>
      </c>
      <c r="L17" s="40"/>
      <c r="O17" s="2"/>
      <c r="S17" s="40"/>
      <c r="V17" s="2"/>
      <c r="Z17" s="40"/>
      <c r="AC17" s="2"/>
      <c r="AG17" s="40"/>
    </row>
    <row r="18" spans="1:36" x14ac:dyDescent="0.3">
      <c r="A18">
        <v>150</v>
      </c>
      <c r="B18">
        <f>control!$B$3*COS('k3'!A18/180*PI())</f>
        <v>-0.86602540378443871</v>
      </c>
      <c r="C18">
        <f>control!$B$3*SIN('k3'!A18/180*PI())</f>
        <v>0.49999999999999994</v>
      </c>
      <c r="D18">
        <v>150</v>
      </c>
      <c r="E18">
        <f>control!$B$2*COS('k3'!D18/180*PI())</f>
        <v>-1.7320508075688774</v>
      </c>
      <c r="F18">
        <f>control!$B$2*SIN('k3'!D18/180*PI())</f>
        <v>0.99999999999999989</v>
      </c>
      <c r="H18">
        <f>H17*control!$C$9/2+control!$C$8</f>
        <v>10</v>
      </c>
      <c r="I18" s="7"/>
      <c r="J18" s="6"/>
      <c r="L18" s="40"/>
      <c r="M18" s="6"/>
      <c r="N18" s="6"/>
      <c r="O18" s="2"/>
      <c r="P18" s="7"/>
      <c r="Q18" s="6"/>
      <c r="S18" s="40"/>
      <c r="T18" s="6"/>
      <c r="U18" s="6"/>
      <c r="V18" s="2"/>
      <c r="W18" s="7"/>
      <c r="X18" s="6"/>
      <c r="Z18" s="40"/>
      <c r="AA18" s="6"/>
      <c r="AB18" s="6"/>
      <c r="AC18" s="2"/>
      <c r="AD18" s="7"/>
      <c r="AE18" s="6"/>
      <c r="AG18" s="40"/>
      <c r="AH18" s="6"/>
      <c r="AI18" s="6"/>
      <c r="AJ18" s="8"/>
    </row>
    <row r="19" spans="1:36" x14ac:dyDescent="0.3">
      <c r="A19">
        <v>160</v>
      </c>
      <c r="B19">
        <f>control!$B$3*COS('k3'!A19/180*PI())</f>
        <v>-0.93969262078590832</v>
      </c>
      <c r="C19">
        <f>control!$B$3*SIN('k3'!A19/180*PI())</f>
        <v>0.34202014332566888</v>
      </c>
      <c r="D19">
        <v>160</v>
      </c>
      <c r="E19">
        <f>control!$B$2*COS('k3'!D19/180*PI())</f>
        <v>-1.8793852415718166</v>
      </c>
      <c r="F19">
        <f>control!$B$2*SIN('k3'!D19/180*PI())</f>
        <v>0.68404028665133776</v>
      </c>
      <c r="G19" s="1">
        <v>-1</v>
      </c>
      <c r="H19">
        <f>G19*control!$B$9/2+control!$B$8</f>
        <v>-17.5</v>
      </c>
      <c r="I19" s="1">
        <f>control!$B$3*TAN('k3'!H19/180*PI())/SQRT(1+TAN('k3'!H19/180*PI())^2+TAN('k3'!$H$18/180*PI())^2)</f>
        <v>-0.29654195678697232</v>
      </c>
      <c r="J19">
        <f>control!$B$3*TAN('k3'!$H$18/180*PI())/SQRT(1+TAN('k3'!H19/180*PI())^2+TAN('k3'!$H$18/180*PI())^2)</f>
        <v>0.16583745240358658</v>
      </c>
      <c r="K19" s="3" t="b">
        <f>(I19^2+J19^2)&gt;=1</f>
        <v>0</v>
      </c>
      <c r="L19" s="3" t="b">
        <f>(I19^2+J19^2)&lt;=control!$B$2^2</f>
        <v>1</v>
      </c>
      <c r="M19">
        <f>ASIN(SQRT(I19^2+J19^2)/control!$B$3)/PI()*180</f>
        <v>19.862462001023477</v>
      </c>
      <c r="N19">
        <f>ATAN2(I19,J19)/PI()*180</f>
        <v>150.78443244019712</v>
      </c>
      <c r="O19" s="3">
        <f>ASIN((I19*$J$58-$I$58*J19)/(SQRT(I19^2+J19^2)*SQRT($I$58^2+$J$58^2)))/PI()*180</f>
        <v>60.784432440197115</v>
      </c>
      <c r="P19" s="1">
        <f t="shared" ref="P19:P29" si="18">I19+$P$4</f>
        <v>-1.8590419567869723</v>
      </c>
      <c r="Q19">
        <f t="shared" ref="Q19:Q29" si="19">J19+$Q$4</f>
        <v>0.16583745240358638</v>
      </c>
      <c r="R19" s="3" t="b">
        <f>(P19^2+Q19^2)&gt;=1</f>
        <v>1</v>
      </c>
      <c r="S19" s="3" t="b">
        <f>(P19^2+Q19^2)&lt;=control!$B$2^2</f>
        <v>1</v>
      </c>
      <c r="T19">
        <f>ASIN(SQRT(P19^2+Q19^2)/control!$B$2)/PI()*180</f>
        <v>68.941185611324215</v>
      </c>
      <c r="U19">
        <f>ATAN2(P19,Q19)/PI()*180</f>
        <v>174.90237342231381</v>
      </c>
      <c r="V19" s="5">
        <f t="shared" si="9"/>
        <v>5.0976265776861789</v>
      </c>
      <c r="W19" s="1">
        <f t="shared" ref="W19:W29" si="20">P19+$W$4</f>
        <v>-0.29654195678697226</v>
      </c>
      <c r="X19">
        <f t="shared" ref="X19:X29" si="21">Q19+$X$4</f>
        <v>1.728337452403587</v>
      </c>
      <c r="Y19" s="3" t="b">
        <f>(W19^2+X19^2)&gt;=1</f>
        <v>1</v>
      </c>
      <c r="Z19" s="3" t="b">
        <f>(W19^2+X19^2)&lt;=control!$B$2^2</f>
        <v>1</v>
      </c>
      <c r="AA19">
        <f>ASIN(SQRT(W19^2+X19^2)/control!$B$2)/PI()*180</f>
        <v>61.258293329890343</v>
      </c>
      <c r="AB19">
        <f>ATAN2(W19,X19)/PI()*180</f>
        <v>99.735807742106388</v>
      </c>
      <c r="AC19" s="5">
        <f>ASIN((W19*$X$58-$W$58*X19)/(SQRT(W19^2+X19^2)*SQRT($W$58^2+$X$58^2)))/PI()*180</f>
        <v>-9.7358077421063971</v>
      </c>
      <c r="AD19" s="1">
        <f t="shared" ref="AD19:AD29" si="22">W19+$AD$4</f>
        <v>-0.29654195678697215</v>
      </c>
      <c r="AE19">
        <f t="shared" ref="AE19:AE29" si="23">X19+$AE$4</f>
        <v>0.16583745240358705</v>
      </c>
      <c r="AF19" s="3" t="b">
        <f>(AD19^2+AE19^2)&gt;=1</f>
        <v>0</v>
      </c>
      <c r="AG19" s="3" t="b">
        <f>(AD19^2+AE19^2)&lt;=control!$B$2^2</f>
        <v>1</v>
      </c>
      <c r="AH19">
        <f>ASIN(SQRT(AD19^2+AE19^2)/control!$B$3)/PI()*180</f>
        <v>19.862462001023484</v>
      </c>
      <c r="AI19">
        <f>ATAN2(AD19,AE19)/PI()*180</f>
        <v>150.78443244019701</v>
      </c>
      <c r="AJ19" s="5">
        <f>ASIN((AD19*$AE$58-$AD$58*AE19)/(SQRT(AD19^2+AE19^2)*SQRT($AD$58^2+$AE$58^2)))/PI()*180</f>
        <v>-73.049206168089455</v>
      </c>
    </row>
    <row r="20" spans="1:36" x14ac:dyDescent="0.3">
      <c r="A20">
        <v>170</v>
      </c>
      <c r="B20">
        <f>control!$B$3*COS('k3'!A20/180*PI())</f>
        <v>-0.98480775301220802</v>
      </c>
      <c r="C20">
        <f>control!$B$3*SIN('k3'!A20/180*PI())</f>
        <v>0.17364817766693069</v>
      </c>
      <c r="D20">
        <v>170</v>
      </c>
      <c r="E20">
        <f>control!$B$2*COS('k3'!D20/180*PI())</f>
        <v>-1.969615506024416</v>
      </c>
      <c r="F20">
        <f>control!$B$2*SIN('k3'!D20/180*PI())</f>
        <v>0.34729635533386138</v>
      </c>
      <c r="G20" s="1">
        <v>-0.8</v>
      </c>
      <c r="H20">
        <f>G20*control!$B$9/2+control!$B$8</f>
        <v>-14</v>
      </c>
      <c r="I20" s="1">
        <f>control!$B$3*TAN('k3'!H20/180*PI())/SQRT(1+TAN('k3'!H20/180*PI())^2+TAN('k3'!$H$18/180*PI())^2)</f>
        <v>-0.23845706356958102</v>
      </c>
      <c r="J20">
        <f>control!$B$3*TAN('k3'!$H$18/180*PI())/SQRT(1+TAN('k3'!H20/180*PI())^2+TAN('k3'!$H$18/180*PI())^2)</f>
        <v>0.16863895578659316</v>
      </c>
      <c r="K20" s="40" t="b">
        <f>(I20^2+J20^2)&gt;=1</f>
        <v>0</v>
      </c>
      <c r="L20" s="40" t="b">
        <f>(I20^2+J20^2)&lt;=control!$B$2^2</f>
        <v>1</v>
      </c>
      <c r="M20">
        <f>ASIN(SQRT(I20^2+J20^2)/control!$B$3)/PI()*180</f>
        <v>16.9815127090834</v>
      </c>
      <c r="N20">
        <f t="shared" ref="N20:N29" si="24">ATAN2(I20,J20)/PI()*180</f>
        <v>144.73171014801039</v>
      </c>
      <c r="O20">
        <f t="shared" ref="O20:O29" si="25">ASIN((I20*$J$58-$I$58*J20)/(SQRT(I20^2+J20^2)*SQRT($I$58^2+$J$58^2)))/PI()*180</f>
        <v>54.731710148010386</v>
      </c>
      <c r="P20" s="1">
        <f t="shared" si="18"/>
        <v>-1.8009570635695811</v>
      </c>
      <c r="Q20">
        <f t="shared" si="19"/>
        <v>0.16863895578659296</v>
      </c>
      <c r="R20" s="40" t="b">
        <f>(P20^2+Q20^2)&gt;=1</f>
        <v>1</v>
      </c>
      <c r="S20" s="40" t="b">
        <f>(P20^2+Q20^2)&lt;=control!$B$2^2</f>
        <v>1</v>
      </c>
      <c r="T20">
        <f>ASIN(SQRT(P20^2+Q20^2)/control!$B$2)/PI()*180</f>
        <v>64.744969724567738</v>
      </c>
      <c r="U20">
        <f t="shared" ref="U20:U29" si="26">ATAN2(P20,Q20)/PI()*180</f>
        <v>174.65050665081768</v>
      </c>
      <c r="V20" s="2">
        <f t="shared" si="9"/>
        <v>5.3494933491823353</v>
      </c>
      <c r="W20" s="1">
        <f t="shared" si="20"/>
        <v>-0.23845706356958107</v>
      </c>
      <c r="X20">
        <f t="shared" si="21"/>
        <v>1.7311389557865937</v>
      </c>
      <c r="Y20" s="40" t="b">
        <f>(W20^2+X20^2)&gt;=1</f>
        <v>1</v>
      </c>
      <c r="Z20" s="40" t="b">
        <f>(W20^2+X20^2)&lt;=control!$B$2^2</f>
        <v>1</v>
      </c>
      <c r="AA20">
        <f>ASIN(SQRT(W20^2+X20^2)/control!$B$2)/PI()*180</f>
        <v>60.896498992902806</v>
      </c>
      <c r="AB20">
        <f t="shared" ref="AB20:AB29" si="27">ATAN2(W20,X20)/PI()*180</f>
        <v>97.842896186985143</v>
      </c>
      <c r="AC20" s="2">
        <f t="shared" ref="AC20:AC29" si="28">ASIN((W20*$X$58-$W$58*X20)/(SQRT(W20^2+X20^2)*SQRT($W$58^2+$X$58^2)))/PI()*180</f>
        <v>-7.8428961869851452</v>
      </c>
      <c r="AD20" s="1">
        <f t="shared" si="22"/>
        <v>-0.23845706356958099</v>
      </c>
      <c r="AE20">
        <f t="shared" si="23"/>
        <v>0.16863895578659371</v>
      </c>
      <c r="AF20" s="40" t="b">
        <f>(AD20^2+AE20^2)&gt;=1</f>
        <v>0</v>
      </c>
      <c r="AG20" s="40" t="b">
        <f>(AD20^2+AE20^2)&lt;=control!$B$2^2</f>
        <v>1</v>
      </c>
      <c r="AH20">
        <f>ASIN(SQRT(AD20^2+AE20^2)/control!$B$3)/PI()*180</f>
        <v>16.981512709083422</v>
      </c>
      <c r="AI20">
        <f t="shared" ref="AI20:AI29" si="29">ATAN2(AD20,AE20)/PI()*180</f>
        <v>144.73171014801031</v>
      </c>
      <c r="AJ20" s="2">
        <f t="shared" ref="AJ20:AJ29" si="30">ASIN((AD20*$AE$58-$AD$58*AE20)/(SQRT(AD20^2+AE20^2)*SQRT($AD$58^2+$AE$58^2)))/PI()*180</f>
        <v>-66.99648387590274</v>
      </c>
    </row>
    <row r="21" spans="1:36" x14ac:dyDescent="0.3">
      <c r="A21">
        <v>180</v>
      </c>
      <c r="B21">
        <f>control!$B$3*COS('k3'!A21/180*PI())</f>
        <v>-1</v>
      </c>
      <c r="C21">
        <f>control!$B$3*SIN('k3'!A21/180*PI())</f>
        <v>1.22514845490862E-16</v>
      </c>
      <c r="D21">
        <v>180</v>
      </c>
      <c r="E21">
        <f>control!$B$2*COS('k3'!D21/180*PI())</f>
        <v>-2</v>
      </c>
      <c r="F21">
        <f>control!$B$2*SIN('k3'!D21/180*PI())</f>
        <v>2.45029690981724E-16</v>
      </c>
      <c r="G21" s="1">
        <v>-0.6</v>
      </c>
      <c r="H21">
        <f>G21*control!$B$9/2+control!$B$8</f>
        <v>-10.5</v>
      </c>
      <c r="I21" s="1">
        <f>control!$B$3*TAN('k3'!H21/180*PI())/SQRT(1+TAN('k3'!H21/180*PI())^2+TAN('k3'!$H$18/180*PI())^2)</f>
        <v>-0.1795568848144925</v>
      </c>
      <c r="J21">
        <f>control!$B$3*TAN('k3'!$H$18/180*PI())/SQRT(1+TAN('k3'!H21/180*PI())^2+TAN('k3'!$H$18/180*PI())^2)</f>
        <v>0.17082597666591404</v>
      </c>
      <c r="K21" s="40" t="b">
        <f t="shared" ref="K21:K29" si="31">(I21^2+J21^2)&gt;=1</f>
        <v>0</v>
      </c>
      <c r="L21" s="40" t="b">
        <f>(I21^2+J21^2)&lt;=control!$B$2^2</f>
        <v>1</v>
      </c>
      <c r="M21">
        <f>ASIN(SQRT(I21^2+J21^2)/control!$B$3)/PI()*180</f>
        <v>14.349435774653708</v>
      </c>
      <c r="N21">
        <f t="shared" si="24"/>
        <v>136.42741196891291</v>
      </c>
      <c r="O21">
        <f t="shared" si="25"/>
        <v>46.427411968912921</v>
      </c>
      <c r="P21" s="1">
        <f t="shared" si="18"/>
        <v>-1.7420568848144926</v>
      </c>
      <c r="Q21">
        <f t="shared" si="19"/>
        <v>0.17082597666591384</v>
      </c>
      <c r="R21" s="40" t="b">
        <f t="shared" ref="R21:R29" si="32">(P21^2+Q21^2)&gt;=1</f>
        <v>1</v>
      </c>
      <c r="S21" s="40" t="b">
        <f>(P21^2+Q21^2)&lt;=control!$B$2^2</f>
        <v>1</v>
      </c>
      <c r="T21">
        <f>ASIN(SQRT(P21^2+Q21^2)/control!$B$2)/PI()*180</f>
        <v>61.069390997229426</v>
      </c>
      <c r="U21">
        <f t="shared" si="26"/>
        <v>174.399485106253</v>
      </c>
      <c r="V21" s="2">
        <f t="shared" si="9"/>
        <v>5.6005148937470333</v>
      </c>
      <c r="W21" s="1">
        <f t="shared" si="20"/>
        <v>-0.17955688481449261</v>
      </c>
      <c r="X21">
        <f t="shared" si="21"/>
        <v>1.7333259766659146</v>
      </c>
      <c r="Y21" s="40" t="b">
        <f t="shared" ref="Y21:Y29" si="33">(W21^2+X21^2)&gt;=1</f>
        <v>1</v>
      </c>
      <c r="Z21" s="40" t="b">
        <f>(W21^2+X21^2)&lt;=control!$B$2^2</f>
        <v>1</v>
      </c>
      <c r="AA21">
        <f>ASIN(SQRT(W21^2+X21^2)/control!$B$2)/PI()*180</f>
        <v>60.610142434268283</v>
      </c>
      <c r="AB21">
        <f t="shared" si="27"/>
        <v>95.914229074280755</v>
      </c>
      <c r="AC21" s="2">
        <f t="shared" si="28"/>
        <v>-5.9142290742807653</v>
      </c>
      <c r="AD21" s="1">
        <f t="shared" si="22"/>
        <v>-0.17955688481449253</v>
      </c>
      <c r="AE21">
        <f t="shared" si="23"/>
        <v>0.17082597666591459</v>
      </c>
      <c r="AF21" s="40" t="b">
        <f t="shared" ref="AF21:AF29" si="34">(AD21^2+AE21^2)&gt;=1</f>
        <v>0</v>
      </c>
      <c r="AG21" s="40" t="b">
        <f>(AD21^2+AE21^2)&lt;=control!$B$2^2</f>
        <v>1</v>
      </c>
      <c r="AH21">
        <f>ASIN(SQRT(AD21^2+AE21^2)/control!$B$3)/PI()*180</f>
        <v>14.349435774653733</v>
      </c>
      <c r="AI21">
        <f t="shared" si="29"/>
        <v>136.42741196891279</v>
      </c>
      <c r="AJ21" s="2">
        <f t="shared" si="30"/>
        <v>-58.692185696805247</v>
      </c>
    </row>
    <row r="22" spans="1:36" x14ac:dyDescent="0.3">
      <c r="A22">
        <v>190</v>
      </c>
      <c r="B22">
        <f>control!$B$3*COS('k3'!A22/180*PI())</f>
        <v>-0.98480775301220802</v>
      </c>
      <c r="C22">
        <f>control!$B$3*SIN('k3'!A22/180*PI())</f>
        <v>-0.17364817766693047</v>
      </c>
      <c r="D22">
        <v>190</v>
      </c>
      <c r="E22">
        <f>control!$B$2*COS('k3'!D22/180*PI())</f>
        <v>-1.969615506024416</v>
      </c>
      <c r="F22">
        <f>control!$B$2*SIN('k3'!D22/180*PI())</f>
        <v>-0.34729635533386094</v>
      </c>
      <c r="G22" s="1">
        <v>-0.4</v>
      </c>
      <c r="H22">
        <f>G22*control!$B$9/2+control!$B$8</f>
        <v>-7</v>
      </c>
      <c r="I22" s="1">
        <f>control!$B$3*TAN('k3'!H22/180*PI())/SQRT(1+TAN('k3'!H22/180*PI())^2+TAN('k3'!$H$18/180*PI())^2)</f>
        <v>-0.12004475807606822</v>
      </c>
      <c r="J22">
        <f>control!$B$3*TAN('k3'!$H$18/180*PI())/SQRT(1+TAN('k3'!H22/180*PI())^2+TAN('k3'!$H$18/180*PI())^2)</f>
        <v>0.17239243750010019</v>
      </c>
      <c r="K22" s="40" t="b">
        <f t="shared" si="31"/>
        <v>0</v>
      </c>
      <c r="L22" s="40" t="b">
        <f>(I22^2+J22^2)&lt;=control!$B$2^2</f>
        <v>1</v>
      </c>
      <c r="M22">
        <f>ASIN(SQRT(I22^2+J22^2)/control!$B$3)/PI()*180</f>
        <v>12.126523017514099</v>
      </c>
      <c r="N22">
        <f t="shared" si="24"/>
        <v>124.85126374945099</v>
      </c>
      <c r="O22">
        <f t="shared" si="25"/>
        <v>34.851263749451007</v>
      </c>
      <c r="P22" s="1">
        <f t="shared" si="18"/>
        <v>-1.6825447580760682</v>
      </c>
      <c r="Q22">
        <f t="shared" si="19"/>
        <v>0.1723924375001</v>
      </c>
      <c r="R22" s="40" t="b">
        <f t="shared" si="32"/>
        <v>1</v>
      </c>
      <c r="S22" s="40" t="b">
        <f>(P22^2+Q22^2)&lt;=control!$B$2^2</f>
        <v>1</v>
      </c>
      <c r="T22">
        <f>ASIN(SQRT(P22^2+Q22^2)/control!$B$2)/PI()*180</f>
        <v>57.744506435542029</v>
      </c>
      <c r="U22">
        <f t="shared" si="26"/>
        <v>174.14992603896005</v>
      </c>
      <c r="V22" s="2">
        <f t="shared" si="9"/>
        <v>5.8500739610399579</v>
      </c>
      <c r="W22" s="1">
        <f t="shared" si="20"/>
        <v>-0.12004475807606818</v>
      </c>
      <c r="X22">
        <f t="shared" si="21"/>
        <v>1.7348924375001007</v>
      </c>
      <c r="Y22" s="40" t="b">
        <f t="shared" si="33"/>
        <v>1</v>
      </c>
      <c r="Z22" s="40" t="b">
        <f>(W22^2+X22^2)&lt;=control!$B$2^2</f>
        <v>1</v>
      </c>
      <c r="AA22">
        <f>ASIN(SQRT(W22^2+X22^2)/control!$B$2)/PI()*180</f>
        <v>60.402948124191923</v>
      </c>
      <c r="AB22">
        <f t="shared" si="27"/>
        <v>93.95823522697971</v>
      </c>
      <c r="AC22" s="2">
        <f t="shared" si="28"/>
        <v>-3.9582352269797094</v>
      </c>
      <c r="AD22" s="1">
        <f t="shared" si="22"/>
        <v>-0.12004475807606808</v>
      </c>
      <c r="AE22">
        <f t="shared" si="23"/>
        <v>0.17239243750010069</v>
      </c>
      <c r="AF22" s="40" t="b">
        <f t="shared" si="34"/>
        <v>0</v>
      </c>
      <c r="AG22" s="40" t="b">
        <f>(AD22^2+AE22^2)&lt;=control!$B$2^2</f>
        <v>1</v>
      </c>
      <c r="AH22">
        <f>ASIN(SQRT(AD22^2+AE22^2)/control!$B$3)/PI()*180</f>
        <v>12.126523017514119</v>
      </c>
      <c r="AI22">
        <f t="shared" si="29"/>
        <v>124.85126374945089</v>
      </c>
      <c r="AJ22" s="2">
        <f t="shared" si="30"/>
        <v>-47.116037477343291</v>
      </c>
    </row>
    <row r="23" spans="1:36" x14ac:dyDescent="0.3">
      <c r="A23">
        <v>200</v>
      </c>
      <c r="B23">
        <f>control!$B$3*COS('k3'!A23/180*PI())</f>
        <v>-0.93969262078590843</v>
      </c>
      <c r="C23">
        <f>control!$B$3*SIN('k3'!A23/180*PI())</f>
        <v>-0.34202014332566866</v>
      </c>
      <c r="D23">
        <v>200</v>
      </c>
      <c r="E23">
        <f>control!$B$2*COS('k3'!D23/180*PI())</f>
        <v>-1.8793852415718169</v>
      </c>
      <c r="F23">
        <f>control!$B$2*SIN('k3'!D23/180*PI())</f>
        <v>-0.68404028665133731</v>
      </c>
      <c r="G23" s="1">
        <v>-0.2</v>
      </c>
      <c r="H23">
        <f>G23*control!$B$9/2+control!$B$8</f>
        <v>-3.5</v>
      </c>
      <c r="I23" s="1">
        <f>control!$B$3*TAN('k3'!H23/180*PI())/SQRT(1+TAN('k3'!H23/180*PI())^2+TAN('k3'!$H$18/180*PI())^2)</f>
        <v>-6.0124453547445153E-2</v>
      </c>
      <c r="J23">
        <f>control!$B$3*TAN('k3'!$H$18/180*PI())/SQRT(1+TAN('k3'!H23/180*PI())^2+TAN('k3'!$H$18/180*PI())^2)</f>
        <v>0.17333402876925988</v>
      </c>
      <c r="K23" s="40" t="b">
        <f t="shared" si="31"/>
        <v>0</v>
      </c>
      <c r="L23" s="40" t="b">
        <f>(I23^2+J23^2)&lt;=control!$B$2^2</f>
        <v>1</v>
      </c>
      <c r="M23">
        <f>ASIN(SQRT(I23^2+J23^2)/control!$B$3)/PI()*180</f>
        <v>10.57168810780826</v>
      </c>
      <c r="N23">
        <f t="shared" si="24"/>
        <v>109.13014924248694</v>
      </c>
      <c r="O23">
        <f t="shared" si="25"/>
        <v>19.130149242486926</v>
      </c>
      <c r="P23" s="1">
        <f t="shared" si="18"/>
        <v>-1.6226244535474452</v>
      </c>
      <c r="Q23">
        <f t="shared" si="19"/>
        <v>0.17333402876925968</v>
      </c>
      <c r="R23" s="40" t="b">
        <f t="shared" si="32"/>
        <v>1</v>
      </c>
      <c r="S23" s="40" t="b">
        <f>(P23^2+Q23^2)&lt;=control!$B$2^2</f>
        <v>1</v>
      </c>
      <c r="T23">
        <f>ASIN(SQRT(P23^2+Q23^2)/control!$B$2)/PI()*180</f>
        <v>54.679236145435297</v>
      </c>
      <c r="U23">
        <f t="shared" si="26"/>
        <v>173.90260096841038</v>
      </c>
      <c r="V23" s="2">
        <f t="shared" si="9"/>
        <v>6.0973990315896183</v>
      </c>
      <c r="W23" s="1">
        <f t="shared" si="20"/>
        <v>-6.0124453547445222E-2</v>
      </c>
      <c r="X23">
        <f t="shared" si="21"/>
        <v>1.7358340287692604</v>
      </c>
      <c r="Y23" s="40" t="b">
        <f t="shared" si="33"/>
        <v>1</v>
      </c>
      <c r="Z23" s="40" t="b">
        <f>(W23^2+X23^2)&lt;=control!$B$2^2</f>
        <v>1</v>
      </c>
      <c r="AA23">
        <f>ASIN(SQRT(W23^2+X23^2)/control!$B$2)/PI()*180</f>
        <v>60.277570828292895</v>
      </c>
      <c r="AB23">
        <f t="shared" si="27"/>
        <v>91.983773056130488</v>
      </c>
      <c r="AC23" s="2">
        <f t="shared" si="28"/>
        <v>-1.9837730561304936</v>
      </c>
      <c r="AD23" s="1">
        <f t="shared" si="22"/>
        <v>-6.0124453547445125E-2</v>
      </c>
      <c r="AE23">
        <f t="shared" si="23"/>
        <v>0.17333402876926041</v>
      </c>
      <c r="AF23" s="40" t="b">
        <f t="shared" si="34"/>
        <v>0</v>
      </c>
      <c r="AG23" s="40" t="b">
        <f>(AD23^2+AE23^2)&lt;=control!$B$2^2</f>
        <v>1</v>
      </c>
      <c r="AH23">
        <f>ASIN(SQRT(AD23^2+AE23^2)/control!$B$3)/PI()*180</f>
        <v>10.571688107808288</v>
      </c>
      <c r="AI23">
        <f t="shared" si="29"/>
        <v>109.13014924248685</v>
      </c>
      <c r="AJ23" s="2">
        <f t="shared" si="30"/>
        <v>-31.394922970379277</v>
      </c>
    </row>
    <row r="24" spans="1:36" x14ac:dyDescent="0.3">
      <c r="A24">
        <v>210</v>
      </c>
      <c r="B24">
        <f>control!$B$3*COS('k3'!A24/180*PI())</f>
        <v>-0.8660254037844386</v>
      </c>
      <c r="C24">
        <f>control!$B$3*SIN('k3'!A24/180*PI())</f>
        <v>-0.50000000000000011</v>
      </c>
      <c r="D24">
        <v>210</v>
      </c>
      <c r="E24">
        <f>control!$B$2*COS('k3'!D24/180*PI())</f>
        <v>-1.7320508075688772</v>
      </c>
      <c r="F24">
        <f>control!$B$2*SIN('k3'!D24/180*PI())</f>
        <v>-1.0000000000000002</v>
      </c>
      <c r="G24" s="1">
        <v>0</v>
      </c>
      <c r="H24">
        <f>G24*control!$B$9/2+control!$B$8</f>
        <v>0</v>
      </c>
      <c r="I24" s="1">
        <f>control!$B$3*TAN('k3'!H24/180*PI())/SQRT(1+TAN('k3'!H24/180*PI())^2+TAN('k3'!$H$18/180*PI())^2)</f>
        <v>0</v>
      </c>
      <c r="J24">
        <f>control!$B$3*TAN('k3'!$H$18/180*PI())/SQRT(1+TAN('k3'!H24/180*PI())^2+TAN('k3'!$H$18/180*PI())^2)</f>
        <v>0.17364817766693036</v>
      </c>
      <c r="K24" s="40" t="b">
        <f t="shared" si="31"/>
        <v>0</v>
      </c>
      <c r="L24" s="40" t="b">
        <f>(I24^2+J24^2)&lt;=control!$B$2^2</f>
        <v>1</v>
      </c>
      <c r="M24">
        <f>ASIN(SQRT(I24^2+J24^2)/control!$B$3)/PI()*180</f>
        <v>10.000000000000002</v>
      </c>
      <c r="N24">
        <f t="shared" si="24"/>
        <v>90</v>
      </c>
      <c r="O24">
        <f t="shared" si="25"/>
        <v>0</v>
      </c>
      <c r="P24" s="1">
        <f t="shared" si="18"/>
        <v>-1.5625</v>
      </c>
      <c r="Q24">
        <f t="shared" si="19"/>
        <v>0.17364817766693016</v>
      </c>
      <c r="R24" s="40" t="b">
        <f t="shared" si="32"/>
        <v>1</v>
      </c>
      <c r="S24" s="40" t="b">
        <f>(P24^2+Q24^2)&lt;=control!$B$2^2</f>
        <v>1</v>
      </c>
      <c r="T24">
        <f>ASIN(SQRT(P24^2+Q24^2)/control!$B$2)/PI()*180</f>
        <v>51.818801886660232</v>
      </c>
      <c r="U24">
        <f t="shared" si="26"/>
        <v>173.65846562863806</v>
      </c>
      <c r="V24" s="2">
        <f t="shared" si="9"/>
        <v>6.3415343713619432</v>
      </c>
      <c r="W24" s="1">
        <f t="shared" si="20"/>
        <v>0</v>
      </c>
      <c r="X24">
        <f t="shared" si="21"/>
        <v>1.7361481776669307</v>
      </c>
      <c r="Y24" s="40" t="b">
        <f t="shared" si="33"/>
        <v>1</v>
      </c>
      <c r="Z24" s="40" t="b">
        <f>(W24^2+X24^2)&lt;=control!$B$2^2</f>
        <v>1</v>
      </c>
      <c r="AA24">
        <f>ASIN(SQRT(W24^2+X24^2)/control!$B$2)/PI()*180</f>
        <v>60.235601681925139</v>
      </c>
      <c r="AB24">
        <f t="shared" si="27"/>
        <v>90</v>
      </c>
      <c r="AC24" s="2">
        <f t="shared" si="28"/>
        <v>3.7010090838848183E-16</v>
      </c>
      <c r="AD24" s="1">
        <f t="shared" si="22"/>
        <v>9.5714723039735938E-17</v>
      </c>
      <c r="AE24">
        <f t="shared" si="23"/>
        <v>0.17364817766693075</v>
      </c>
      <c r="AF24" s="40" t="b">
        <f t="shared" si="34"/>
        <v>0</v>
      </c>
      <c r="AG24" s="40" t="b">
        <f>(AD24^2+AE24^2)&lt;=control!$B$2^2</f>
        <v>1</v>
      </c>
      <c r="AH24">
        <f>ASIN(SQRT(AD24^2+AE24^2)/control!$B$3)/PI()*180</f>
        <v>10.000000000000023</v>
      </c>
      <c r="AI24">
        <f t="shared" si="29"/>
        <v>89.999999999999972</v>
      </c>
      <c r="AJ24" s="2">
        <f t="shared" si="30"/>
        <v>-12.264773727892372</v>
      </c>
    </row>
    <row r="25" spans="1:36" x14ac:dyDescent="0.3">
      <c r="A25">
        <v>220</v>
      </c>
      <c r="B25">
        <f>control!$B$3*COS('k3'!A25/180*PI())</f>
        <v>-0.76604444311897801</v>
      </c>
      <c r="C25">
        <f>control!$B$3*SIN('k3'!A25/180*PI())</f>
        <v>-0.64278760968653925</v>
      </c>
      <c r="D25">
        <v>220</v>
      </c>
      <c r="E25">
        <f>control!$B$2*COS('k3'!D25/180*PI())</f>
        <v>-1.532088886237956</v>
      </c>
      <c r="F25">
        <f>control!$B$2*SIN('k3'!D25/180*PI())</f>
        <v>-1.2855752193730785</v>
      </c>
      <c r="G25" s="1">
        <v>0.2</v>
      </c>
      <c r="H25">
        <f>G25*control!$B$9/2+control!$B$8</f>
        <v>3.5</v>
      </c>
      <c r="I25" s="1">
        <f>control!$B$3*TAN('k3'!H25/180*PI())/SQRT(1+TAN('k3'!H25/180*PI())^2+TAN('k3'!$H$18/180*PI())^2)</f>
        <v>6.0124453547445153E-2</v>
      </c>
      <c r="J25">
        <f>control!$B$3*TAN('k3'!$H$18/180*PI())/SQRT(1+TAN('k3'!H25/180*PI())^2+TAN('k3'!$H$18/180*PI())^2)</f>
        <v>0.17333402876925988</v>
      </c>
      <c r="K25" s="40" t="b">
        <f t="shared" si="31"/>
        <v>0</v>
      </c>
      <c r="L25" s="40" t="b">
        <f>(I25^2+J25^2)&lt;=control!$B$2^2</f>
        <v>1</v>
      </c>
      <c r="M25">
        <f>ASIN(SQRT(I25^2+J25^2)/control!$B$3)/PI()*180</f>
        <v>10.57168810780826</v>
      </c>
      <c r="N25">
        <f t="shared" si="24"/>
        <v>70.869850757513078</v>
      </c>
      <c r="O25">
        <f t="shared" si="25"/>
        <v>-19.130149242486926</v>
      </c>
      <c r="P25" s="1">
        <f t="shared" si="18"/>
        <v>-1.5023755464525548</v>
      </c>
      <c r="Q25">
        <f t="shared" si="19"/>
        <v>0.17333402876925968</v>
      </c>
      <c r="R25" s="40" t="b">
        <f t="shared" si="32"/>
        <v>1</v>
      </c>
      <c r="S25" s="40" t="b">
        <f>(P25^2+Q25^2)&lt;=control!$B$2^2</f>
        <v>1</v>
      </c>
      <c r="T25">
        <f>ASIN(SQRT(P25^2+Q25^2)/control!$B$2)/PI()*180</f>
        <v>49.127774982315643</v>
      </c>
      <c r="U25">
        <f t="shared" si="26"/>
        <v>173.41869499565428</v>
      </c>
      <c r="V25" s="2">
        <f t="shared" si="9"/>
        <v>6.581305004345734</v>
      </c>
      <c r="W25" s="1">
        <f t="shared" si="20"/>
        <v>6.0124453547445222E-2</v>
      </c>
      <c r="X25">
        <f t="shared" si="21"/>
        <v>1.7358340287692604</v>
      </c>
      <c r="Y25" s="40" t="b">
        <f t="shared" si="33"/>
        <v>1</v>
      </c>
      <c r="Z25" s="40" t="b">
        <f>(W25^2+X25^2)&lt;=control!$B$2^2</f>
        <v>1</v>
      </c>
      <c r="AA25">
        <f>ASIN(SQRT(W25^2+X25^2)/control!$B$2)/PI()*180</f>
        <v>60.277570828292895</v>
      </c>
      <c r="AB25">
        <f t="shared" si="27"/>
        <v>88.016226943869512</v>
      </c>
      <c r="AC25" s="2">
        <f t="shared" si="28"/>
        <v>1.9837730561304943</v>
      </c>
      <c r="AD25" s="1">
        <f t="shared" si="22"/>
        <v>6.012445354744532E-2</v>
      </c>
      <c r="AE25">
        <f t="shared" si="23"/>
        <v>0.17333402876926041</v>
      </c>
      <c r="AF25" s="40" t="b">
        <f t="shared" si="34"/>
        <v>0</v>
      </c>
      <c r="AG25" s="40" t="b">
        <f>(AD25^2+AE25^2)&lt;=control!$B$2^2</f>
        <v>1</v>
      </c>
      <c r="AH25">
        <f>ASIN(SQRT(AD25^2+AE25^2)/control!$B$3)/PI()*180</f>
        <v>10.571688107808294</v>
      </c>
      <c r="AI25">
        <f t="shared" si="29"/>
        <v>70.869850757513078</v>
      </c>
      <c r="AJ25" s="2">
        <f t="shared" si="30"/>
        <v>6.8653755145945192</v>
      </c>
    </row>
    <row r="26" spans="1:36" x14ac:dyDescent="0.3">
      <c r="A26">
        <v>230</v>
      </c>
      <c r="B26">
        <f>control!$B$3*COS('k3'!A26/180*PI())</f>
        <v>-0.64278760968653947</v>
      </c>
      <c r="C26">
        <f>control!$B$3*SIN('k3'!A26/180*PI())</f>
        <v>-0.7660444431189779</v>
      </c>
      <c r="D26">
        <v>230</v>
      </c>
      <c r="E26">
        <f>control!$B$2*COS('k3'!D26/180*PI())</f>
        <v>-1.2855752193730789</v>
      </c>
      <c r="F26">
        <f>control!$B$2*SIN('k3'!D26/180*PI())</f>
        <v>-1.5320888862379558</v>
      </c>
      <c r="G26" s="1">
        <v>0.4</v>
      </c>
      <c r="H26">
        <f>G26*control!$B$9/2+control!$B$8</f>
        <v>7</v>
      </c>
      <c r="I26" s="1">
        <f>control!$B$3*TAN('k3'!H26/180*PI())/SQRT(1+TAN('k3'!H26/180*PI())^2+TAN('k3'!$H$18/180*PI())^2)</f>
        <v>0.12004475807606822</v>
      </c>
      <c r="J26">
        <f>control!$B$3*TAN('k3'!$H$18/180*PI())/SQRT(1+TAN('k3'!H26/180*PI())^2+TAN('k3'!$H$18/180*PI())^2)</f>
        <v>0.17239243750010019</v>
      </c>
      <c r="K26" s="40" t="b">
        <f t="shared" si="31"/>
        <v>0</v>
      </c>
      <c r="L26" s="40" t="b">
        <f>(I26^2+J26^2)&lt;=control!$B$2^2</f>
        <v>1</v>
      </c>
      <c r="M26">
        <f>ASIN(SQRT(I26^2+J26^2)/control!$B$3)/PI()*180</f>
        <v>12.126523017514099</v>
      </c>
      <c r="N26">
        <f t="shared" si="24"/>
        <v>55.148736250548993</v>
      </c>
      <c r="O26">
        <f t="shared" si="25"/>
        <v>-34.851263749451007</v>
      </c>
      <c r="P26" s="1">
        <f t="shared" si="18"/>
        <v>-1.4424552419239318</v>
      </c>
      <c r="Q26">
        <f t="shared" si="19"/>
        <v>0.1723924375001</v>
      </c>
      <c r="R26" s="40" t="b">
        <f t="shared" si="32"/>
        <v>1</v>
      </c>
      <c r="S26" s="40" t="b">
        <f>(P26^2+Q26^2)&lt;=control!$B$2^2</f>
        <v>1</v>
      </c>
      <c r="T26">
        <f>ASIN(SQRT(P26^2+Q26^2)/control!$B$2)/PI()*180</f>
        <v>46.58211429450445</v>
      </c>
      <c r="U26">
        <f t="shared" si="26"/>
        <v>173.18472398600736</v>
      </c>
      <c r="V26" s="2">
        <f t="shared" si="9"/>
        <v>6.815276013992654</v>
      </c>
      <c r="W26" s="1">
        <f t="shared" si="20"/>
        <v>0.12004475807606818</v>
      </c>
      <c r="X26">
        <f t="shared" si="21"/>
        <v>1.7348924375001007</v>
      </c>
      <c r="Y26" s="40" t="b">
        <f t="shared" si="33"/>
        <v>1</v>
      </c>
      <c r="Z26" s="40" t="b">
        <f>(W26^2+X26^2)&lt;=control!$B$2^2</f>
        <v>1</v>
      </c>
      <c r="AA26">
        <f>ASIN(SQRT(W26^2+X26^2)/control!$B$2)/PI()*180</f>
        <v>60.402948124191923</v>
      </c>
      <c r="AB26">
        <f t="shared" si="27"/>
        <v>86.04176477302029</v>
      </c>
      <c r="AC26" s="2">
        <f t="shared" si="28"/>
        <v>3.9582352269797112</v>
      </c>
      <c r="AD26" s="1">
        <f t="shared" si="22"/>
        <v>0.12004475807606828</v>
      </c>
      <c r="AE26">
        <f t="shared" si="23"/>
        <v>0.17239243750010069</v>
      </c>
      <c r="AF26" s="40" t="b">
        <f t="shared" si="34"/>
        <v>0</v>
      </c>
      <c r="AG26" s="40" t="b">
        <f>(AD26^2+AE26^2)&lt;=control!$B$2^2</f>
        <v>1</v>
      </c>
      <c r="AH26">
        <f>ASIN(SQRT(AD26^2+AE26^2)/control!$B$3)/PI()*180</f>
        <v>12.126523017514124</v>
      </c>
      <c r="AI26">
        <f t="shared" si="29"/>
        <v>55.148736250549049</v>
      </c>
      <c r="AJ26" s="2">
        <f t="shared" si="30"/>
        <v>22.586490021558543</v>
      </c>
    </row>
    <row r="27" spans="1:36" x14ac:dyDescent="0.3">
      <c r="A27">
        <v>240</v>
      </c>
      <c r="B27">
        <f>control!$B$3*COS('k3'!A27/180*PI())</f>
        <v>-0.50000000000000044</v>
      </c>
      <c r="C27">
        <f>control!$B$3*SIN('k3'!A27/180*PI())</f>
        <v>-0.86602540378443837</v>
      </c>
      <c r="D27">
        <v>240</v>
      </c>
      <c r="E27">
        <f>control!$B$2*COS('k3'!D27/180*PI())</f>
        <v>-1.0000000000000009</v>
      </c>
      <c r="F27">
        <f>control!$B$2*SIN('k3'!D27/180*PI())</f>
        <v>-1.7320508075688767</v>
      </c>
      <c r="G27" s="1">
        <v>0.6</v>
      </c>
      <c r="H27">
        <f>G27*control!$B$9/2+control!$B$8</f>
        <v>10.5</v>
      </c>
      <c r="I27" s="1">
        <f>control!$B$3*TAN('k3'!H27/180*PI())/SQRT(1+TAN('k3'!H27/180*PI())^2+TAN('k3'!$H$18/180*PI())^2)</f>
        <v>0.1795568848144925</v>
      </c>
      <c r="J27">
        <f>control!$B$3*TAN('k3'!$H$18/180*PI())/SQRT(1+TAN('k3'!H27/180*PI())^2+TAN('k3'!$H$18/180*PI())^2)</f>
        <v>0.17082597666591404</v>
      </c>
      <c r="K27" s="40" t="b">
        <f t="shared" si="31"/>
        <v>0</v>
      </c>
      <c r="L27" s="40" t="b">
        <f>(I27^2+J27^2)&lt;=control!$B$2^2</f>
        <v>1</v>
      </c>
      <c r="M27">
        <f>ASIN(SQRT(I27^2+J27^2)/control!$B$3)/PI()*180</f>
        <v>14.349435774653708</v>
      </c>
      <c r="N27">
        <f t="shared" si="24"/>
        <v>43.572588031087093</v>
      </c>
      <c r="O27">
        <f t="shared" si="25"/>
        <v>-46.427411968912921</v>
      </c>
      <c r="P27" s="1">
        <f t="shared" si="18"/>
        <v>-1.3829431151855074</v>
      </c>
      <c r="Q27">
        <f t="shared" si="19"/>
        <v>0.17082597666591384</v>
      </c>
      <c r="R27" s="40" t="b">
        <f t="shared" si="32"/>
        <v>1</v>
      </c>
      <c r="S27" s="40" t="b">
        <f>(P27^2+Q27^2)&lt;=control!$B$2^2</f>
        <v>1</v>
      </c>
      <c r="T27">
        <f>ASIN(SQRT(P27^2+Q27^2)/control!$B$2)/PI()*180</f>
        <v>44.164984489029784</v>
      </c>
      <c r="U27">
        <f t="shared" si="26"/>
        <v>172.9582943413385</v>
      </c>
      <c r="V27" s="2">
        <f t="shared" si="9"/>
        <v>7.0417056586614901</v>
      </c>
      <c r="W27" s="1">
        <f t="shared" si="20"/>
        <v>0.17955688481449261</v>
      </c>
      <c r="X27">
        <f t="shared" si="21"/>
        <v>1.7333259766659146</v>
      </c>
      <c r="Y27" s="40" t="b">
        <f t="shared" si="33"/>
        <v>1</v>
      </c>
      <c r="Z27" s="40" t="b">
        <f>(W27^2+X27^2)&lt;=control!$B$2^2</f>
        <v>1</v>
      </c>
      <c r="AA27">
        <f>ASIN(SQRT(W27^2+X27^2)/control!$B$2)/PI()*180</f>
        <v>60.610142434268283</v>
      </c>
      <c r="AB27">
        <f t="shared" si="27"/>
        <v>84.085770925719231</v>
      </c>
      <c r="AC27" s="2">
        <f t="shared" si="28"/>
        <v>5.9142290742807653</v>
      </c>
      <c r="AD27" s="1">
        <f t="shared" si="22"/>
        <v>0.1795568848144927</v>
      </c>
      <c r="AE27">
        <f t="shared" si="23"/>
        <v>0.17082597666591459</v>
      </c>
      <c r="AF27" s="40" t="b">
        <f t="shared" si="34"/>
        <v>0</v>
      </c>
      <c r="AG27" s="40" t="b">
        <f>(AD27^2+AE27^2)&lt;=control!$B$2^2</f>
        <v>1</v>
      </c>
      <c r="AH27">
        <f>ASIN(SQRT(AD27^2+AE27^2)/control!$B$3)/PI()*180</f>
        <v>14.349435774653744</v>
      </c>
      <c r="AI27">
        <f t="shared" si="29"/>
        <v>43.57258803108715</v>
      </c>
      <c r="AJ27" s="2">
        <f t="shared" si="30"/>
        <v>34.162638241020439</v>
      </c>
    </row>
    <row r="28" spans="1:36" x14ac:dyDescent="0.3">
      <c r="A28">
        <v>250</v>
      </c>
      <c r="B28">
        <f>control!$B$3*COS('k3'!A28/180*PI())</f>
        <v>-0.34202014332566938</v>
      </c>
      <c r="C28">
        <f>control!$B$3*SIN('k3'!A28/180*PI())</f>
        <v>-0.93969262078590821</v>
      </c>
      <c r="D28">
        <v>250</v>
      </c>
      <c r="E28">
        <f>control!$B$2*COS('k3'!D28/180*PI())</f>
        <v>-0.68404028665133876</v>
      </c>
      <c r="F28">
        <f>control!$B$2*SIN('k3'!D28/180*PI())</f>
        <v>-1.8793852415718164</v>
      </c>
      <c r="G28" s="1">
        <v>0.8</v>
      </c>
      <c r="H28">
        <f>G28*control!$B$9/2+control!$B$8</f>
        <v>14</v>
      </c>
      <c r="I28" s="1">
        <f>control!$B$3*TAN('k3'!H28/180*PI())/SQRT(1+TAN('k3'!H28/180*PI())^2+TAN('k3'!$H$18/180*PI())^2)</f>
        <v>0.23845706356958102</v>
      </c>
      <c r="J28">
        <f>control!$B$3*TAN('k3'!$H$18/180*PI())/SQRT(1+TAN('k3'!H28/180*PI())^2+TAN('k3'!$H$18/180*PI())^2)</f>
        <v>0.16863895578659316</v>
      </c>
      <c r="K28" s="40" t="b">
        <f t="shared" si="31"/>
        <v>0</v>
      </c>
      <c r="L28" s="40" t="b">
        <f>(I28^2+J28^2)&lt;=control!$B$2^2</f>
        <v>1</v>
      </c>
      <c r="M28">
        <f>ASIN(SQRT(I28^2+J28^2)/control!$B$3)/PI()*180</f>
        <v>16.9815127090834</v>
      </c>
      <c r="N28">
        <f t="shared" si="24"/>
        <v>35.2682898519896</v>
      </c>
      <c r="O28">
        <f t="shared" si="25"/>
        <v>-54.731710148010386</v>
      </c>
      <c r="P28" s="1">
        <f t="shared" si="18"/>
        <v>-1.3240429364304189</v>
      </c>
      <c r="Q28">
        <f t="shared" si="19"/>
        <v>0.16863895578659296</v>
      </c>
      <c r="R28" s="40" t="b">
        <f t="shared" si="32"/>
        <v>1</v>
      </c>
      <c r="S28" s="40" t="b">
        <f>(P28^2+Q28^2)&lt;=control!$B$2^2</f>
        <v>1</v>
      </c>
      <c r="T28">
        <f>ASIN(SQRT(P28^2+Q28^2)/control!$B$2)/PI()*180</f>
        <v>41.864373353842964</v>
      </c>
      <c r="U28">
        <f t="shared" si="26"/>
        <v>172.74150804311577</v>
      </c>
      <c r="V28" s="2">
        <f t="shared" si="9"/>
        <v>7.2584919568842619</v>
      </c>
      <c r="W28" s="1">
        <f t="shared" si="20"/>
        <v>0.23845706356958107</v>
      </c>
      <c r="X28">
        <f t="shared" si="21"/>
        <v>1.7311389557865937</v>
      </c>
      <c r="Y28" s="40" t="b">
        <f t="shared" si="33"/>
        <v>1</v>
      </c>
      <c r="Z28" s="40" t="b">
        <f>(W28^2+X28^2)&lt;=control!$B$2^2</f>
        <v>1</v>
      </c>
      <c r="AA28">
        <f>ASIN(SQRT(W28^2+X28^2)/control!$B$2)/PI()*180</f>
        <v>60.896498992902806</v>
      </c>
      <c r="AB28">
        <f t="shared" si="27"/>
        <v>82.157103813014857</v>
      </c>
      <c r="AC28" s="2">
        <f t="shared" si="28"/>
        <v>7.8428961869851452</v>
      </c>
      <c r="AD28" s="1">
        <f t="shared" si="22"/>
        <v>0.23845706356958116</v>
      </c>
      <c r="AE28">
        <f t="shared" si="23"/>
        <v>0.16863895578659371</v>
      </c>
      <c r="AF28" s="40" t="b">
        <f t="shared" si="34"/>
        <v>0</v>
      </c>
      <c r="AG28" s="40" t="b">
        <f>(AD28^2+AE28^2)&lt;=control!$B$2^2</f>
        <v>1</v>
      </c>
      <c r="AH28">
        <f>ASIN(SQRT(AD28^2+AE28^2)/control!$B$3)/PI()*180</f>
        <v>16.981512709083429</v>
      </c>
      <c r="AI28">
        <f t="shared" si="29"/>
        <v>35.268289851989678</v>
      </c>
      <c r="AJ28" s="2">
        <f t="shared" si="30"/>
        <v>42.466936420117925</v>
      </c>
    </row>
    <row r="29" spans="1:36" x14ac:dyDescent="0.3">
      <c r="A29">
        <v>260</v>
      </c>
      <c r="B29">
        <f>control!$B$3*COS('k3'!A29/180*PI())</f>
        <v>-0.17364817766693033</v>
      </c>
      <c r="C29">
        <f>control!$B$3*SIN('k3'!A29/180*PI())</f>
        <v>-0.98480775301220802</v>
      </c>
      <c r="D29">
        <v>260</v>
      </c>
      <c r="E29">
        <f>control!$B$2*COS('k3'!D29/180*PI())</f>
        <v>-0.34729635533386066</v>
      </c>
      <c r="F29">
        <f>control!$B$2*SIN('k3'!D29/180*PI())</f>
        <v>-1.969615506024416</v>
      </c>
      <c r="G29" s="1">
        <v>1</v>
      </c>
      <c r="H29">
        <f>G29*control!$B$9/2+control!$B$8</f>
        <v>17.5</v>
      </c>
      <c r="I29" s="7">
        <f>control!$B$3*TAN('k3'!H29/180*PI())/SQRT(1+TAN('k3'!H29/180*PI())^2+TAN('k3'!$H$18/180*PI())^2)</f>
        <v>0.29654195678697232</v>
      </c>
      <c r="J29" s="6">
        <f>control!$B$3*TAN('k3'!$H$18/180*PI())/SQRT(1+TAN('k3'!H29/180*PI())^2+TAN('k3'!$H$18/180*PI())^2)</f>
        <v>0.16583745240358658</v>
      </c>
      <c r="K29" s="6" t="b">
        <f t="shared" si="31"/>
        <v>0</v>
      </c>
      <c r="L29" s="6" t="b">
        <f>(I29^2+J29^2)&lt;=control!$B$2^2</f>
        <v>1</v>
      </c>
      <c r="M29" s="6">
        <f>ASIN(SQRT(I29^2+J29^2)/control!$B$3)/PI()*180</f>
        <v>19.862462001023477</v>
      </c>
      <c r="N29" s="6">
        <f t="shared" si="24"/>
        <v>29.215567559802889</v>
      </c>
      <c r="O29" s="6">
        <f t="shared" si="25"/>
        <v>-60.784432440197115</v>
      </c>
      <c r="P29" s="7">
        <f t="shared" si="18"/>
        <v>-1.2659580432130277</v>
      </c>
      <c r="Q29" s="6">
        <f t="shared" si="19"/>
        <v>0.16583745240358638</v>
      </c>
      <c r="R29" s="6" t="b">
        <f t="shared" si="32"/>
        <v>1</v>
      </c>
      <c r="S29" s="6" t="b">
        <f>(P29^2+Q29^2)&lt;=control!$B$2^2</f>
        <v>1</v>
      </c>
      <c r="T29" s="6">
        <f>ASIN(SQRT(P29^2+Q29^2)/control!$B$2)/PI()*180</f>
        <v>39.67164675720786</v>
      </c>
      <c r="U29" s="6">
        <f t="shared" si="26"/>
        <v>172.53688728503656</v>
      </c>
      <c r="V29" s="8">
        <f t="shared" si="9"/>
        <v>7.4631127149634784</v>
      </c>
      <c r="W29" s="7">
        <f t="shared" si="20"/>
        <v>0.29654195678697226</v>
      </c>
      <c r="X29" s="6">
        <f t="shared" si="21"/>
        <v>1.728337452403587</v>
      </c>
      <c r="Y29" s="6" t="b">
        <f t="shared" si="33"/>
        <v>1</v>
      </c>
      <c r="Z29" s="6" t="b">
        <f>(W29^2+X29^2)&lt;=control!$B$2^2</f>
        <v>1</v>
      </c>
      <c r="AA29" s="6">
        <f>ASIN(SQRT(W29^2+X29^2)/control!$B$2)/PI()*180</f>
        <v>61.258293329890343</v>
      </c>
      <c r="AB29" s="6">
        <f t="shared" si="27"/>
        <v>80.264192257893598</v>
      </c>
      <c r="AC29" s="8">
        <f t="shared" si="28"/>
        <v>9.7358077421063971</v>
      </c>
      <c r="AD29" s="7">
        <f t="shared" si="22"/>
        <v>0.29654195678697237</v>
      </c>
      <c r="AE29" s="6">
        <f t="shared" si="23"/>
        <v>0.16583745240358705</v>
      </c>
      <c r="AF29" s="6" t="b">
        <f t="shared" si="34"/>
        <v>0</v>
      </c>
      <c r="AG29" s="6" t="b">
        <f>(AD29^2+AE29^2)&lt;=control!$B$2^2</f>
        <v>1</v>
      </c>
      <c r="AH29" s="6">
        <f>ASIN(SQRT(AD29^2+AE29^2)/control!$B$3)/PI()*180</f>
        <v>19.862462001023498</v>
      </c>
      <c r="AI29" s="6">
        <f t="shared" si="29"/>
        <v>29.215567559802953</v>
      </c>
      <c r="AJ29" s="8">
        <f t="shared" si="30"/>
        <v>48.519658712304654</v>
      </c>
    </row>
    <row r="30" spans="1:36" x14ac:dyDescent="0.3">
      <c r="A30">
        <v>270</v>
      </c>
      <c r="B30">
        <f>control!$B$3*COS('k3'!A30/180*PI())</f>
        <v>-1.83772268236293E-16</v>
      </c>
      <c r="C30">
        <f>control!$B$3*SIN('k3'!A30/180*PI())</f>
        <v>-1</v>
      </c>
      <c r="D30">
        <v>270</v>
      </c>
      <c r="E30">
        <f>control!$B$2*COS('k3'!D30/180*PI())</f>
        <v>-3.67544536472586E-16</v>
      </c>
      <c r="F30">
        <f>control!$B$2*SIN('k3'!D30/180*PI())</f>
        <v>-2</v>
      </c>
      <c r="L30" s="40"/>
      <c r="O30" s="2"/>
      <c r="S30" s="40"/>
      <c r="V30" s="2"/>
      <c r="Z30" s="40"/>
      <c r="AC30" s="2"/>
      <c r="AG30" s="40"/>
      <c r="AJ30" s="5"/>
    </row>
    <row r="31" spans="1:36" x14ac:dyDescent="0.3">
      <c r="A31">
        <v>280</v>
      </c>
      <c r="B31">
        <f>control!$B$3*COS('k3'!A31/180*PI())</f>
        <v>0.17364817766692997</v>
      </c>
      <c r="C31">
        <f>control!$B$3*SIN('k3'!A31/180*PI())</f>
        <v>-0.98480775301220813</v>
      </c>
      <c r="D31">
        <v>280</v>
      </c>
      <c r="E31">
        <f>control!$B$2*COS('k3'!D31/180*PI())</f>
        <v>0.34729635533385994</v>
      </c>
      <c r="F31">
        <f>control!$B$2*SIN('k3'!D31/180*PI())</f>
        <v>-1.9696155060244163</v>
      </c>
      <c r="G31" s="1" t="s">
        <v>13</v>
      </c>
      <c r="H31">
        <v>1</v>
      </c>
      <c r="L31" s="40"/>
      <c r="O31" s="2"/>
      <c r="S31" s="40"/>
      <c r="V31" s="2"/>
      <c r="Z31" s="40"/>
      <c r="AC31" s="2"/>
      <c r="AG31" s="40"/>
    </row>
    <row r="32" spans="1:36" x14ac:dyDescent="0.3">
      <c r="A32">
        <v>290</v>
      </c>
      <c r="B32">
        <f>control!$B$3*COS('k3'!A32/180*PI())</f>
        <v>0.34202014332566899</v>
      </c>
      <c r="C32">
        <f>control!$B$3*SIN('k3'!A32/180*PI())</f>
        <v>-0.93969262078590832</v>
      </c>
      <c r="D32">
        <v>290</v>
      </c>
      <c r="E32">
        <f>control!$B$2*COS('k3'!D32/180*PI())</f>
        <v>0.68404028665133798</v>
      </c>
      <c r="F32">
        <f>control!$B$2*SIN('k3'!D32/180*PI())</f>
        <v>-1.8793852415718166</v>
      </c>
      <c r="H32">
        <f>H31*control!$B$9/2+control!$B$8</f>
        <v>17.5</v>
      </c>
      <c r="I32" s="7"/>
      <c r="J32" s="6"/>
      <c r="L32" s="40"/>
      <c r="M32" s="6"/>
      <c r="N32" s="6"/>
      <c r="O32" s="2"/>
      <c r="P32" s="7"/>
      <c r="Q32" s="6"/>
      <c r="S32" s="40"/>
      <c r="T32" s="6"/>
      <c r="U32" s="6"/>
      <c r="V32" s="2"/>
      <c r="W32" s="7"/>
      <c r="X32" s="6"/>
      <c r="Z32" s="40"/>
      <c r="AA32" s="6"/>
      <c r="AB32" s="6"/>
      <c r="AC32" s="2"/>
      <c r="AD32" s="7"/>
      <c r="AE32" s="6"/>
      <c r="AG32" s="40"/>
      <c r="AH32" s="6"/>
      <c r="AI32" s="6"/>
      <c r="AJ32" s="8"/>
    </row>
    <row r="33" spans="1:36" x14ac:dyDescent="0.3">
      <c r="A33">
        <v>300</v>
      </c>
      <c r="B33">
        <f>control!$B$3*COS('k3'!A33/180*PI())</f>
        <v>0.50000000000000011</v>
      </c>
      <c r="C33">
        <f>control!$B$3*SIN('k3'!A33/180*PI())</f>
        <v>-0.8660254037844386</v>
      </c>
      <c r="D33">
        <v>300</v>
      </c>
      <c r="E33">
        <f>control!$B$2*COS('k3'!D33/180*PI())</f>
        <v>1.0000000000000002</v>
      </c>
      <c r="F33">
        <f>control!$B$2*SIN('k3'!D33/180*PI())</f>
        <v>-1.7320508075688772</v>
      </c>
      <c r="G33" s="1">
        <v>1</v>
      </c>
      <c r="H33">
        <f>G33*control!$C$9/2+control!$C$8</f>
        <v>10</v>
      </c>
      <c r="I33" s="1">
        <f>control!$B$3*TAN('k3'!$H$32/180*PI())/SQRT(1+TAN('k3'!$H$32/180*PI())^2+TAN('k3'!H33/180*PI())^2)</f>
        <v>0.29654195678697232</v>
      </c>
      <c r="J33">
        <f>control!$B$3*TAN('k3'!H33/180*PI())/SQRT(1+TAN('k3'!$H$32/180*PI())^2+TAN('k3'!H33/180*PI())^2)</f>
        <v>0.16583745240358658</v>
      </c>
      <c r="K33" s="3" t="b">
        <f>(I33^2+J33^2)&gt;=1</f>
        <v>0</v>
      </c>
      <c r="L33" s="3" t="b">
        <f>(I33^2+J33^2)&lt;=control!$B$2^2</f>
        <v>1</v>
      </c>
      <c r="M33">
        <f>ASIN(SQRT(I33^2+J33^2)/control!$B$3)/PI()*180</f>
        <v>19.862462001023477</v>
      </c>
      <c r="N33">
        <f>ATAN2(I33,J33)/PI()*180</f>
        <v>29.215567559802889</v>
      </c>
      <c r="O33" s="3">
        <f>ASIN((I33*$J$58-$I$58*J33)/(SQRT(I33^2+J33^2)*SQRT($I$58^2+$J$58^2)))/PI()*180</f>
        <v>-60.784432440197115</v>
      </c>
      <c r="P33" s="1">
        <f t="shared" ref="P33:P43" si="35">I33+$P$4</f>
        <v>-1.2659580432130277</v>
      </c>
      <c r="Q33">
        <f t="shared" ref="Q33:Q43" si="36">J33+$Q$4</f>
        <v>0.16583745240358638</v>
      </c>
      <c r="R33" s="3" t="b">
        <f>(P33^2+Q33^2)&gt;=1</f>
        <v>1</v>
      </c>
      <c r="S33" s="3" t="b">
        <f>(P33^2+Q33^2)&lt;=control!$B$2^2</f>
        <v>1</v>
      </c>
      <c r="T33">
        <f>ASIN(SQRT(P33^2+Q33^2)/control!$B$2)/PI()*180</f>
        <v>39.67164675720786</v>
      </c>
      <c r="U33">
        <f>ATAN2(P33,Q33)/PI()*180</f>
        <v>172.53688728503656</v>
      </c>
      <c r="V33" s="5">
        <f t="shared" si="9"/>
        <v>7.4631127149634784</v>
      </c>
      <c r="W33" s="1">
        <f t="shared" ref="W33:W43" si="37">P33+$W$4</f>
        <v>0.29654195678697226</v>
      </c>
      <c r="X33">
        <f t="shared" ref="X33:X43" si="38">Q33+$X$4</f>
        <v>1.728337452403587</v>
      </c>
      <c r="Y33" s="3" t="b">
        <f>(W33^2+X33^2)&gt;=1</f>
        <v>1</v>
      </c>
      <c r="Z33" s="3" t="b">
        <f>(W33^2+X33^2)&lt;=control!$B$2^2</f>
        <v>1</v>
      </c>
      <c r="AA33">
        <f>ASIN(SQRT(W33^2+X33^2)/control!$B$2)/PI()*180</f>
        <v>61.258293329890343</v>
      </c>
      <c r="AB33">
        <f>ATAN2(W33,X33)/PI()*180</f>
        <v>80.264192257893598</v>
      </c>
      <c r="AC33" s="5">
        <f>ASIN((W33*$X$58-$W$58*X33)/(SQRT(W33^2+X33^2)*SQRT($W$58^2+$X$58^2)))/PI()*180</f>
        <v>9.7358077421063971</v>
      </c>
      <c r="AD33" s="1">
        <f t="shared" ref="AD33:AD43" si="39">W33+$AD$4</f>
        <v>0.29654195678697237</v>
      </c>
      <c r="AE33">
        <f t="shared" ref="AE33:AE43" si="40">X33+$AE$4</f>
        <v>0.16583745240358705</v>
      </c>
      <c r="AF33" s="3" t="b">
        <f>(AD33^2+AE33^2)&gt;=1</f>
        <v>0</v>
      </c>
      <c r="AG33" s="3" t="b">
        <f>(AD33^2+AE33^2)&lt;=control!$B$2^2</f>
        <v>1</v>
      </c>
      <c r="AH33">
        <f>ASIN(SQRT(AD33^2+AE33^2)/control!$B$3)/PI()*180</f>
        <v>19.862462001023498</v>
      </c>
      <c r="AI33">
        <f>ATAN2(AD33,AE33)/PI()*180</f>
        <v>29.215567559802953</v>
      </c>
      <c r="AJ33" s="5">
        <f>ASIN((AD33*$AE$58-$AD$58*AE33)/(SQRT(AD33^2+AE33^2)*SQRT($AD$58^2+$AE$58^2)))/PI()*180</f>
        <v>48.519658712304654</v>
      </c>
    </row>
    <row r="34" spans="1:36" x14ac:dyDescent="0.3">
      <c r="A34">
        <v>310</v>
      </c>
      <c r="B34">
        <f>control!$B$3*COS('k3'!A34/180*PI())</f>
        <v>0.64278760968653925</v>
      </c>
      <c r="C34">
        <f>control!$B$3*SIN('k3'!A34/180*PI())</f>
        <v>-0.76604444311897812</v>
      </c>
      <c r="D34">
        <v>310</v>
      </c>
      <c r="E34">
        <f>control!$B$2*COS('k3'!D34/180*PI())</f>
        <v>1.2855752193730785</v>
      </c>
      <c r="F34">
        <f>control!$B$2*SIN('k3'!D34/180*PI())</f>
        <v>-1.5320888862379562</v>
      </c>
      <c r="G34" s="1">
        <v>0.8</v>
      </c>
      <c r="H34">
        <f>G34*control!$C$9/2+control!$C$8</f>
        <v>8</v>
      </c>
      <c r="I34" s="1">
        <f>control!$B$3*TAN('k3'!$H$32/180*PI())/SQRT(1+TAN('k3'!$H$32/180*PI())^2+TAN('k3'!H34/180*PI())^2)</f>
        <v>0.29804046508194998</v>
      </c>
      <c r="J34">
        <f>control!$B$3*TAN('k3'!H34/180*PI())/SQRT(1+TAN('k3'!$H$32/180*PI())^2+TAN('k3'!H34/180*PI())^2)</f>
        <v>0.13284813394504671</v>
      </c>
      <c r="K34" s="40" t="b">
        <f>(I34^2+J34^2)&gt;=1</f>
        <v>0</v>
      </c>
      <c r="L34" s="40" t="b">
        <f>(I34^2+J34^2)&lt;=control!$B$2^2</f>
        <v>1</v>
      </c>
      <c r="M34">
        <f>ASIN(SQRT(I34^2+J34^2)/control!$B$3)/PI()*180</f>
        <v>19.044823258221381</v>
      </c>
      <c r="N34">
        <f t="shared" ref="N34:N43" si="41">ATAN2(I34,J34)/PI()*180</f>
        <v>24.024377091132745</v>
      </c>
      <c r="O34">
        <f t="shared" ref="O34:O43" si="42">ASIN((I34*$J$58-$I$58*J34)/(SQRT(I34^2+J34^2)*SQRT($I$58^2+$J$58^2)))/PI()*180</f>
        <v>-65.975622908867265</v>
      </c>
      <c r="P34" s="1">
        <f t="shared" si="35"/>
        <v>-1.2644595349180501</v>
      </c>
      <c r="Q34">
        <f t="shared" si="36"/>
        <v>0.13284813394504652</v>
      </c>
      <c r="R34" s="40" t="b">
        <f>(P34^2+Q34^2)&gt;=1</f>
        <v>1</v>
      </c>
      <c r="S34" s="40" t="b">
        <f>(P34^2+Q34^2)&lt;=control!$B$2^2</f>
        <v>1</v>
      </c>
      <c r="T34">
        <f>ASIN(SQRT(P34^2+Q34^2)/control!$B$2)/PI()*180</f>
        <v>39.472630560082386</v>
      </c>
      <c r="U34">
        <f t="shared" ref="U34:U43" si="43">ATAN2(P34,Q34)/PI()*180</f>
        <v>174.00232686056273</v>
      </c>
      <c r="V34" s="2">
        <f t="shared" si="9"/>
        <v>5.9976731394372846</v>
      </c>
      <c r="W34" s="1">
        <f t="shared" si="37"/>
        <v>0.29804046508194992</v>
      </c>
      <c r="X34">
        <f t="shared" si="38"/>
        <v>1.6953481339450471</v>
      </c>
      <c r="Y34" s="40" t="b">
        <f>(W34^2+X34^2)&gt;=1</f>
        <v>1</v>
      </c>
      <c r="Z34" s="40" t="b">
        <f>(W34^2+X34^2)&lt;=control!$B$2^2</f>
        <v>1</v>
      </c>
      <c r="AA34">
        <f>ASIN(SQRT(W34^2+X34^2)/control!$B$2)/PI()*180</f>
        <v>59.392253737509002</v>
      </c>
      <c r="AB34">
        <f t="shared" ref="AB34:AB43" si="44">ATAN2(W34,X34)/PI()*180</f>
        <v>80.029342892734903</v>
      </c>
      <c r="AC34" s="2">
        <f t="shared" ref="AC34:AC43" si="45">ASIN((W34*$X$58-$W$58*X34)/(SQRT(W34^2+X34^2)*SQRT($W$58^2+$X$58^2)))/PI()*180</f>
        <v>9.9706571072651027</v>
      </c>
      <c r="AD34" s="1">
        <f t="shared" si="39"/>
        <v>0.29804046508195003</v>
      </c>
      <c r="AE34">
        <f t="shared" si="40"/>
        <v>0.13284813394504713</v>
      </c>
      <c r="AF34" s="40" t="b">
        <f>(AD34^2+AE34^2)&gt;=1</f>
        <v>0</v>
      </c>
      <c r="AG34" s="40" t="b">
        <f>(AD34^2+AE34^2)&lt;=control!$B$2^2</f>
        <v>1</v>
      </c>
      <c r="AH34">
        <f>ASIN(SQRT(AD34^2+AE34^2)/control!$B$3)/PI()*180</f>
        <v>19.044823258221395</v>
      </c>
      <c r="AI34">
        <f t="shared" ref="AI34:AI43" si="46">ATAN2(AD34,AE34)/PI()*180</f>
        <v>24.024377091132806</v>
      </c>
      <c r="AJ34" s="2">
        <f t="shared" ref="AJ34:AJ43" si="47">ASIN((AD34*$AE$58-$AD$58*AE34)/(SQRT(AD34^2+AE34^2)*SQRT($AD$58^2+$AE$58^2)))/PI()*180</f>
        <v>53.710849180974826</v>
      </c>
    </row>
    <row r="35" spans="1:36" x14ac:dyDescent="0.3">
      <c r="A35">
        <v>320</v>
      </c>
      <c r="B35">
        <f>control!$B$3*COS('k3'!A35/180*PI())</f>
        <v>0.76604444311897779</v>
      </c>
      <c r="C35">
        <f>control!$B$3*SIN('k3'!A35/180*PI())</f>
        <v>-0.64278760968653958</v>
      </c>
      <c r="D35">
        <v>320</v>
      </c>
      <c r="E35">
        <f>control!$B$2*COS('k3'!D35/180*PI())</f>
        <v>1.5320888862379556</v>
      </c>
      <c r="F35">
        <f>control!$B$2*SIN('k3'!D35/180*PI())</f>
        <v>-1.2855752193730792</v>
      </c>
      <c r="G35" s="1">
        <v>0.6</v>
      </c>
      <c r="H35">
        <f>G35*control!$C$9/2+control!$C$8</f>
        <v>6</v>
      </c>
      <c r="I35" s="1">
        <f>control!$B$3*TAN('k3'!$H$32/180*PI())/SQRT(1+TAN('k3'!$H$32/180*PI())^2+TAN('k3'!H35/180*PI())^2)</f>
        <v>0.29920634470024859</v>
      </c>
      <c r="J35">
        <f>control!$B$3*TAN('k3'!H35/180*PI())/SQRT(1+TAN('k3'!$H$32/180*PI())^2+TAN('k3'!H35/180*PI())^2)</f>
        <v>9.9739850438906014E-2</v>
      </c>
      <c r="K35" s="40" t="b">
        <f t="shared" ref="K35:K43" si="48">(I35^2+J35^2)&gt;=1</f>
        <v>0</v>
      </c>
      <c r="L35" s="40" t="b">
        <f>(I35^2+J35^2)&lt;=control!$B$2^2</f>
        <v>1</v>
      </c>
      <c r="M35">
        <f>ASIN(SQRT(I35^2+J35^2)/control!$B$3)/PI()*180</f>
        <v>18.384514627439579</v>
      </c>
      <c r="N35">
        <f t="shared" si="41"/>
        <v>18.435707510087717</v>
      </c>
      <c r="O35">
        <f t="shared" si="42"/>
        <v>-71.564292489912305</v>
      </c>
      <c r="P35" s="1">
        <f t="shared" si="35"/>
        <v>-1.2632936552997514</v>
      </c>
      <c r="Q35">
        <f t="shared" si="36"/>
        <v>9.9739850438905819E-2</v>
      </c>
      <c r="R35" s="40" t="b">
        <f t="shared" ref="R35:R43" si="49">(P35^2+Q35^2)&gt;=1</f>
        <v>1</v>
      </c>
      <c r="S35" s="40" t="b">
        <f>(P35^2+Q35^2)&lt;=control!$B$2^2</f>
        <v>1</v>
      </c>
      <c r="T35">
        <f>ASIN(SQRT(P35^2+Q35^2)/control!$B$2)/PI()*180</f>
        <v>39.317147554974248</v>
      </c>
      <c r="U35">
        <f t="shared" si="43"/>
        <v>175.48573475518933</v>
      </c>
      <c r="V35" s="2">
        <f t="shared" si="9"/>
        <v>4.5142652448106748</v>
      </c>
      <c r="W35" s="1">
        <f t="shared" si="37"/>
        <v>0.29920634470024865</v>
      </c>
      <c r="X35">
        <f t="shared" si="38"/>
        <v>1.6622398504389064</v>
      </c>
      <c r="Y35" s="40" t="b">
        <f t="shared" ref="Y35:Y43" si="50">(W35^2+X35^2)&gt;=1</f>
        <v>1</v>
      </c>
      <c r="Z35" s="40" t="b">
        <f>(W35^2+X35^2)&lt;=control!$B$2^2</f>
        <v>1</v>
      </c>
      <c r="AA35">
        <f>ASIN(SQRT(W35^2+X35^2)/control!$B$2)/PI()*180</f>
        <v>57.615946245986954</v>
      </c>
      <c r="AB35">
        <f t="shared" si="44"/>
        <v>79.795920386519555</v>
      </c>
      <c r="AC35" s="2">
        <f t="shared" si="45"/>
        <v>10.204079613480447</v>
      </c>
      <c r="AD35" s="1">
        <f t="shared" si="39"/>
        <v>0.29920634470024876</v>
      </c>
      <c r="AE35">
        <f t="shared" si="40"/>
        <v>9.973985043890643E-2</v>
      </c>
      <c r="AF35" s="40" t="b">
        <f t="shared" ref="AF35:AF43" si="51">(AD35^2+AE35^2)&gt;=1</f>
        <v>0</v>
      </c>
      <c r="AG35" s="40" t="b">
        <f>(AD35^2+AE35^2)&lt;=control!$B$2^2</f>
        <v>1</v>
      </c>
      <c r="AH35">
        <f>ASIN(SQRT(AD35^2+AE35^2)/control!$B$3)/PI()*180</f>
        <v>18.384514627439593</v>
      </c>
      <c r="AI35">
        <f t="shared" si="46"/>
        <v>18.435707510087781</v>
      </c>
      <c r="AJ35" s="2">
        <f t="shared" si="47"/>
        <v>59.299518762019822</v>
      </c>
    </row>
    <row r="36" spans="1:36" x14ac:dyDescent="0.3">
      <c r="A36">
        <v>330</v>
      </c>
      <c r="B36">
        <f>control!$B$3*COS('k3'!A36/180*PI())</f>
        <v>0.86602540378443837</v>
      </c>
      <c r="C36">
        <f>control!$B$3*SIN('k3'!A36/180*PI())</f>
        <v>-0.50000000000000044</v>
      </c>
      <c r="D36">
        <v>330</v>
      </c>
      <c r="E36">
        <f>control!$B$2*COS('k3'!D36/180*PI())</f>
        <v>1.7320508075688767</v>
      </c>
      <c r="F36">
        <f>control!$B$2*SIN('k3'!D36/180*PI())</f>
        <v>-1.0000000000000009</v>
      </c>
      <c r="G36" s="1">
        <v>0.4</v>
      </c>
      <c r="H36">
        <f>G36*control!$C$9/2+control!$C$8</f>
        <v>4</v>
      </c>
      <c r="I36" s="1">
        <f>control!$B$3*TAN('k3'!$H$32/180*PI())/SQRT(1+TAN('k3'!$H$32/180*PI())^2+TAN('k3'!H36/180*PI())^2)</f>
        <v>0.30003931119635729</v>
      </c>
      <c r="J36">
        <f>control!$B$3*TAN('k3'!H36/180*PI())/SQRT(1+TAN('k3'!$H$32/180*PI())^2+TAN('k3'!H36/180*PI())^2)</f>
        <v>6.6542572409755835E-2</v>
      </c>
      <c r="K36" s="40" t="b">
        <f t="shared" si="48"/>
        <v>0</v>
      </c>
      <c r="L36" s="40" t="b">
        <f>(I36^2+J36^2)&lt;=control!$B$2^2</f>
        <v>1</v>
      </c>
      <c r="M36">
        <f>ASIN(SQRT(I36^2+J36^2)/control!$B$3)/PI()*180</f>
        <v>17.898375135585169</v>
      </c>
      <c r="N36">
        <f t="shared" si="41"/>
        <v>12.50463375545989</v>
      </c>
      <c r="O36">
        <f t="shared" si="42"/>
        <v>-77.495366244540094</v>
      </c>
      <c r="P36" s="1">
        <f t="shared" si="35"/>
        <v>-1.2624606888036427</v>
      </c>
      <c r="Q36">
        <f t="shared" si="36"/>
        <v>6.654257240975564E-2</v>
      </c>
      <c r="R36" s="40" t="b">
        <f t="shared" si="49"/>
        <v>1</v>
      </c>
      <c r="S36" s="40" t="b">
        <f>(P36^2+Q36^2)&lt;=control!$B$2^2</f>
        <v>1</v>
      </c>
      <c r="T36">
        <f>ASIN(SQRT(P36^2+Q36^2)/control!$B$2)/PI()*180</f>
        <v>39.205713623425076</v>
      </c>
      <c r="U36">
        <f t="shared" si="43"/>
        <v>176.98281005071755</v>
      </c>
      <c r="V36" s="2">
        <f t="shared" si="9"/>
        <v>3.0171899492824763</v>
      </c>
      <c r="W36" s="1">
        <f t="shared" si="37"/>
        <v>0.30003931119635729</v>
      </c>
      <c r="X36">
        <f t="shared" si="38"/>
        <v>1.6290425724097564</v>
      </c>
      <c r="Y36" s="40" t="b">
        <f t="shared" si="50"/>
        <v>1</v>
      </c>
      <c r="Z36" s="40" t="b">
        <f>(W36^2+X36^2)&lt;=control!$B$2^2</f>
        <v>1</v>
      </c>
      <c r="AA36">
        <f>ASIN(SQRT(W36^2+X36^2)/control!$B$2)/PI()*180</f>
        <v>55.916472290142558</v>
      </c>
      <c r="AB36">
        <f t="shared" si="44"/>
        <v>79.564139737829109</v>
      </c>
      <c r="AC36" s="2">
        <f t="shared" si="45"/>
        <v>10.435860262170909</v>
      </c>
      <c r="AD36" s="1">
        <f t="shared" si="39"/>
        <v>0.30003931119635741</v>
      </c>
      <c r="AE36">
        <f t="shared" si="40"/>
        <v>6.6542572409756362E-2</v>
      </c>
      <c r="AF36" s="40" t="b">
        <f t="shared" si="51"/>
        <v>0</v>
      </c>
      <c r="AG36" s="40" t="b">
        <f>(AD36^2+AE36^2)&lt;=control!$B$2^2</f>
        <v>1</v>
      </c>
      <c r="AH36">
        <f>ASIN(SQRT(AD36^2+AE36^2)/control!$B$3)/PI()*180</f>
        <v>17.898375135585184</v>
      </c>
      <c r="AI36">
        <f t="shared" si="46"/>
        <v>12.504633755459983</v>
      </c>
      <c r="AJ36" s="2">
        <f t="shared" si="47"/>
        <v>65.230592516647619</v>
      </c>
    </row>
    <row r="37" spans="1:36" x14ac:dyDescent="0.3">
      <c r="A37">
        <v>340</v>
      </c>
      <c r="B37">
        <f>control!$B$3*COS('k3'!A37/180*PI())</f>
        <v>0.93969262078590809</v>
      </c>
      <c r="C37">
        <f>control!$B$3*SIN('k3'!A37/180*PI())</f>
        <v>-0.34202014332566943</v>
      </c>
      <c r="D37">
        <v>340</v>
      </c>
      <c r="E37">
        <f>control!$B$2*COS('k3'!D37/180*PI())</f>
        <v>1.8793852415718162</v>
      </c>
      <c r="F37">
        <f>control!$B$2*SIN('k3'!D37/180*PI())</f>
        <v>-0.68404028665133887</v>
      </c>
      <c r="G37" s="1">
        <v>0.2</v>
      </c>
      <c r="H37">
        <f>G37*control!$C$9/2+control!$C$8</f>
        <v>2</v>
      </c>
      <c r="I37" s="1">
        <f>control!$B$3*TAN('k3'!$H$32/180*PI())/SQRT(1+TAN('k3'!$H$32/180*PI())^2+TAN('k3'!H37/180*PI())^2)</f>
        <v>0.30053916792201169</v>
      </c>
      <c r="J37">
        <f>control!$B$3*TAN('k3'!H37/180*PI())/SQRT(1+TAN('k3'!$H$32/180*PI())^2+TAN('k3'!H37/180*PI())^2)</f>
        <v>3.3286074594705777E-2</v>
      </c>
      <c r="K37" s="40" t="b">
        <f t="shared" si="48"/>
        <v>0</v>
      </c>
      <c r="L37" s="40" t="b">
        <f>(I37^2+J37^2)&lt;=control!$B$2^2</f>
        <v>1</v>
      </c>
      <c r="M37">
        <f>ASIN(SQRT(I37^2+J37^2)/control!$B$3)/PI()*180</f>
        <v>17.600417800510527</v>
      </c>
      <c r="N37">
        <f t="shared" si="41"/>
        <v>6.3200095751478091</v>
      </c>
      <c r="O37">
        <f t="shared" si="42"/>
        <v>-83.679990424852178</v>
      </c>
      <c r="P37" s="1">
        <f t="shared" si="35"/>
        <v>-1.2619608320779883</v>
      </c>
      <c r="Q37">
        <f t="shared" si="36"/>
        <v>3.3286074594705582E-2</v>
      </c>
      <c r="R37" s="40" t="b">
        <f t="shared" si="49"/>
        <v>1</v>
      </c>
      <c r="S37" s="40" t="b">
        <f>(P37^2+Q37^2)&lt;=control!$B$2^2</f>
        <v>1</v>
      </c>
      <c r="T37">
        <f>ASIN(SQRT(P37^2+Q37^2)/control!$B$2)/PI()*180</f>
        <v>39.138702363068198</v>
      </c>
      <c r="U37">
        <f t="shared" si="43"/>
        <v>178.48908979833277</v>
      </c>
      <c r="V37" s="2">
        <f t="shared" si="9"/>
        <v>1.5109102016672278</v>
      </c>
      <c r="W37" s="1">
        <f t="shared" si="37"/>
        <v>0.30053916792201174</v>
      </c>
      <c r="X37">
        <f t="shared" si="38"/>
        <v>1.5957860745947063</v>
      </c>
      <c r="Y37" s="40" t="b">
        <f t="shared" si="50"/>
        <v>1</v>
      </c>
      <c r="Z37" s="40" t="b">
        <f>(W37^2+X37^2)&lt;=control!$B$2^2</f>
        <v>1</v>
      </c>
      <c r="AA37">
        <f>ASIN(SQRT(W37^2+X37^2)/control!$B$2)/PI()*180</f>
        <v>54.283956718129232</v>
      </c>
      <c r="AB37">
        <f t="shared" si="44"/>
        <v>79.334245611849852</v>
      </c>
      <c r="AC37" s="2">
        <f t="shared" si="45"/>
        <v>10.665754388150152</v>
      </c>
      <c r="AD37" s="1">
        <f t="shared" si="39"/>
        <v>0.30053916792201185</v>
      </c>
      <c r="AE37">
        <f t="shared" si="40"/>
        <v>3.3286074594706339E-2</v>
      </c>
      <c r="AF37" s="40" t="b">
        <f t="shared" si="51"/>
        <v>0</v>
      </c>
      <c r="AG37" s="40" t="b">
        <f>(AD37^2+AE37^2)&lt;=control!$B$2^2</f>
        <v>1</v>
      </c>
      <c r="AH37">
        <f>ASIN(SQRT(AD37^2+AE37^2)/control!$B$3)/PI()*180</f>
        <v>17.600417800510542</v>
      </c>
      <c r="AI37">
        <f t="shared" si="46"/>
        <v>6.3200095751479113</v>
      </c>
      <c r="AJ37" s="2">
        <f t="shared" si="47"/>
        <v>71.415216696959732</v>
      </c>
    </row>
    <row r="38" spans="1:36" x14ac:dyDescent="0.3">
      <c r="A38">
        <v>350</v>
      </c>
      <c r="B38">
        <f>control!$B$3*COS('k3'!A38/180*PI())</f>
        <v>0.98480775301220802</v>
      </c>
      <c r="C38">
        <f>control!$B$3*SIN('k3'!A38/180*PI())</f>
        <v>-0.17364817766693039</v>
      </c>
      <c r="D38">
        <v>350</v>
      </c>
      <c r="E38">
        <f>control!$B$2*COS('k3'!D38/180*PI())</f>
        <v>1.969615506024416</v>
      </c>
      <c r="F38">
        <f>control!$B$2*SIN('k3'!D38/180*PI())</f>
        <v>-0.34729635533386077</v>
      </c>
      <c r="G38" s="1">
        <v>0</v>
      </c>
      <c r="H38">
        <f>G38*control!$C$9/2+control!$C$8</f>
        <v>0</v>
      </c>
      <c r="I38" s="1">
        <f>control!$B$3*TAN('k3'!$H$32/180*PI())/SQRT(1+TAN('k3'!$H$32/180*PI())^2+TAN('k3'!H38/180*PI())^2)</f>
        <v>0.30070579950427312</v>
      </c>
      <c r="J38">
        <f>control!$B$3*TAN('k3'!H38/180*PI())/SQRT(1+TAN('k3'!$H$32/180*PI())^2+TAN('k3'!H38/180*PI())^2)</f>
        <v>0</v>
      </c>
      <c r="K38" s="40" t="b">
        <f t="shared" si="48"/>
        <v>0</v>
      </c>
      <c r="L38" s="40" t="b">
        <f>(I38^2+J38^2)&lt;=control!$B$2^2</f>
        <v>1</v>
      </c>
      <c r="M38">
        <f>ASIN(SQRT(I38^2+J38^2)/control!$B$3)/PI()*180</f>
        <v>17.5</v>
      </c>
      <c r="N38">
        <f t="shared" si="41"/>
        <v>0</v>
      </c>
      <c r="O38">
        <f t="shared" si="42"/>
        <v>-90</v>
      </c>
      <c r="P38" s="1">
        <f t="shared" si="35"/>
        <v>-1.2617942004957268</v>
      </c>
      <c r="Q38">
        <f t="shared" si="36"/>
        <v>-1.9142944607947188E-16</v>
      </c>
      <c r="R38" s="40" t="b">
        <f t="shared" si="49"/>
        <v>1</v>
      </c>
      <c r="S38" s="40" t="b">
        <f>(P38^2+Q38^2)&lt;=control!$B$2^2</f>
        <v>1</v>
      </c>
      <c r="T38">
        <f>ASIN(SQRT(P38^2+Q38^2)/control!$B$2)/PI()*180</f>
        <v>39.116340020321068</v>
      </c>
      <c r="U38">
        <f t="shared" si="43"/>
        <v>-180</v>
      </c>
      <c r="V38" s="2">
        <f t="shared" si="9"/>
        <v>-1.9843839827221261E-15</v>
      </c>
      <c r="W38" s="1">
        <f t="shared" si="37"/>
        <v>0.30070579950427323</v>
      </c>
      <c r="X38">
        <f t="shared" si="38"/>
        <v>1.5625000000000004</v>
      </c>
      <c r="Y38" s="40" t="b">
        <f t="shared" si="50"/>
        <v>1</v>
      </c>
      <c r="Z38" s="40" t="b">
        <f>(W38^2+X38^2)&lt;=control!$B$2^2</f>
        <v>1</v>
      </c>
      <c r="AA38">
        <f>ASIN(SQRT(W38^2+X38^2)/control!$B$2)/PI()*180</f>
        <v>52.710668050208504</v>
      </c>
      <c r="AB38">
        <f t="shared" si="44"/>
        <v>79.106515738808838</v>
      </c>
      <c r="AC38" s="2">
        <f t="shared" si="45"/>
        <v>10.893484261191162</v>
      </c>
      <c r="AD38" s="1">
        <f t="shared" si="39"/>
        <v>0.30070579950427334</v>
      </c>
      <c r="AE38">
        <f t="shared" si="40"/>
        <v>0</v>
      </c>
      <c r="AF38" s="40" t="b">
        <f t="shared" si="51"/>
        <v>0</v>
      </c>
      <c r="AG38" s="40" t="b">
        <f>(AD38^2+AE38^2)&lt;=control!$B$2^2</f>
        <v>1</v>
      </c>
      <c r="AH38">
        <f>ASIN(SQRT(AD38^2+AE38^2)/control!$B$3)/PI()*180</f>
        <v>17.500000000000014</v>
      </c>
      <c r="AI38">
        <f t="shared" si="46"/>
        <v>0</v>
      </c>
      <c r="AJ38" s="2">
        <f t="shared" si="47"/>
        <v>77.735226272107596</v>
      </c>
    </row>
    <row r="39" spans="1:36" x14ac:dyDescent="0.3">
      <c r="A39">
        <v>360</v>
      </c>
      <c r="B39">
        <f>control!$B$3*COS('k3'!A39/180*PI())</f>
        <v>1</v>
      </c>
      <c r="C39">
        <f>control!$B$3*SIN('k3'!A39/180*PI())</f>
        <v>-2.45029690981724E-16</v>
      </c>
      <c r="D39">
        <v>360</v>
      </c>
      <c r="E39">
        <f>control!$B$2*COS('k3'!D39/180*PI())</f>
        <v>2</v>
      </c>
      <c r="F39">
        <f>control!$B$2*SIN('k3'!D39/180*PI())</f>
        <v>-4.90059381963448E-16</v>
      </c>
      <c r="G39" s="1">
        <v>-0.2</v>
      </c>
      <c r="H39">
        <f>G39*control!$C$9/2+control!$C$8</f>
        <v>-2</v>
      </c>
      <c r="I39" s="1">
        <f>control!$B$3*TAN('k3'!$H$32/180*PI())/SQRT(1+TAN('k3'!$H$32/180*PI())^2+TAN('k3'!H39/180*PI())^2)</f>
        <v>0.30053916792201169</v>
      </c>
      <c r="J39">
        <f>control!$B$3*TAN('k3'!H39/180*PI())/SQRT(1+TAN('k3'!$H$32/180*PI())^2+TAN('k3'!H39/180*PI())^2)</f>
        <v>-3.3286074594705777E-2</v>
      </c>
      <c r="K39" s="40" t="b">
        <f t="shared" si="48"/>
        <v>0</v>
      </c>
      <c r="L39" s="40" t="b">
        <f>(I39^2+J39^2)&lt;=control!$B$2^2</f>
        <v>1</v>
      </c>
      <c r="M39">
        <f>ASIN(SQRT(I39^2+J39^2)/control!$B$3)/PI()*180</f>
        <v>17.600417800510527</v>
      </c>
      <c r="N39">
        <f t="shared" si="41"/>
        <v>-6.3200095751478091</v>
      </c>
      <c r="O39">
        <f t="shared" si="42"/>
        <v>-83.679990424852178</v>
      </c>
      <c r="P39" s="1">
        <f t="shared" si="35"/>
        <v>-1.2619608320779883</v>
      </c>
      <c r="Q39">
        <f t="shared" si="36"/>
        <v>-3.3286074594705971E-2</v>
      </c>
      <c r="R39" s="40" t="b">
        <f t="shared" si="49"/>
        <v>1</v>
      </c>
      <c r="S39" s="40" t="b">
        <f>(P39^2+Q39^2)&lt;=control!$B$2^2</f>
        <v>1</v>
      </c>
      <c r="T39">
        <f>ASIN(SQRT(P39^2+Q39^2)/control!$B$2)/PI()*180</f>
        <v>39.138702363068198</v>
      </c>
      <c r="U39">
        <f t="shared" si="43"/>
        <v>-178.48908979833277</v>
      </c>
      <c r="V39" s="2">
        <f t="shared" si="9"/>
        <v>-1.5109102016672322</v>
      </c>
      <c r="W39" s="1">
        <f t="shared" si="37"/>
        <v>0.30053916792201174</v>
      </c>
      <c r="X39">
        <f t="shared" si="38"/>
        <v>1.5292139254052948</v>
      </c>
      <c r="Y39" s="40" t="b">
        <f t="shared" si="50"/>
        <v>1</v>
      </c>
      <c r="Z39" s="40" t="b">
        <f>(W39^2+X39^2)&lt;=control!$B$2^2</f>
        <v>1</v>
      </c>
      <c r="AA39">
        <f>ASIN(SQRT(W39^2+X39^2)/control!$B$2)/PI()*180</f>
        <v>51.19044345119601</v>
      </c>
      <c r="AB39">
        <f t="shared" si="44"/>
        <v>78.881264651227681</v>
      </c>
      <c r="AC39" s="2">
        <f t="shared" si="45"/>
        <v>11.118735348772322</v>
      </c>
      <c r="AD39" s="1">
        <f t="shared" si="39"/>
        <v>0.30053916792201185</v>
      </c>
      <c r="AE39">
        <f t="shared" si="40"/>
        <v>-3.3286074594705228E-2</v>
      </c>
      <c r="AF39" s="40" t="b">
        <f t="shared" si="51"/>
        <v>0</v>
      </c>
      <c r="AG39" s="40" t="b">
        <f>(AD39^2+AE39^2)&lt;=control!$B$2^2</f>
        <v>1</v>
      </c>
      <c r="AH39">
        <f>ASIN(SQRT(AD39^2+AE39^2)/control!$B$3)/PI()*180</f>
        <v>17.600417800510538</v>
      </c>
      <c r="AI39">
        <f t="shared" si="46"/>
        <v>-6.3200095751477026</v>
      </c>
      <c r="AJ39" s="2">
        <f t="shared" si="47"/>
        <v>84.055235847255375</v>
      </c>
    </row>
    <row r="40" spans="1:36" x14ac:dyDescent="0.3">
      <c r="G40" s="1">
        <v>-0.4</v>
      </c>
      <c r="H40">
        <f>G40*control!$C$9/2+control!$C$8</f>
        <v>-4</v>
      </c>
      <c r="I40" s="1">
        <f>control!$B$3*TAN('k3'!$H$32/180*PI())/SQRT(1+TAN('k3'!$H$32/180*PI())^2+TAN('k3'!H40/180*PI())^2)</f>
        <v>0.30003931119635729</v>
      </c>
      <c r="J40">
        <f>control!$B$3*TAN('k3'!H40/180*PI())/SQRT(1+TAN('k3'!$H$32/180*PI())^2+TAN('k3'!H40/180*PI())^2)</f>
        <v>-6.6542572409755835E-2</v>
      </c>
      <c r="K40" s="40" t="b">
        <f t="shared" si="48"/>
        <v>0</v>
      </c>
      <c r="L40" s="40" t="b">
        <f>(I40^2+J40^2)&lt;=control!$B$2^2</f>
        <v>1</v>
      </c>
      <c r="M40">
        <f>ASIN(SQRT(I40^2+J40^2)/control!$B$3)/PI()*180</f>
        <v>17.898375135585169</v>
      </c>
      <c r="N40">
        <f t="shared" si="41"/>
        <v>-12.50463375545989</v>
      </c>
      <c r="O40">
        <f t="shared" si="42"/>
        <v>-77.495366244540094</v>
      </c>
      <c r="P40" s="1">
        <f t="shared" si="35"/>
        <v>-1.2624606888036427</v>
      </c>
      <c r="Q40">
        <f t="shared" si="36"/>
        <v>-6.6542572409756029E-2</v>
      </c>
      <c r="R40" s="40" t="b">
        <f t="shared" si="49"/>
        <v>1</v>
      </c>
      <c r="S40" s="40" t="b">
        <f>(P40^2+Q40^2)&lt;=control!$B$2^2</f>
        <v>1</v>
      </c>
      <c r="T40">
        <f>ASIN(SQRT(P40^2+Q40^2)/control!$B$2)/PI()*180</f>
        <v>39.205713623425076</v>
      </c>
      <c r="U40">
        <f t="shared" si="43"/>
        <v>-176.98281005071752</v>
      </c>
      <c r="V40" s="2">
        <f t="shared" si="9"/>
        <v>-3.0171899492824803</v>
      </c>
      <c r="W40" s="1">
        <f t="shared" si="37"/>
        <v>0.30003931119635729</v>
      </c>
      <c r="X40">
        <f t="shared" si="38"/>
        <v>1.4959574275902447</v>
      </c>
      <c r="Y40" s="40" t="b">
        <f t="shared" si="50"/>
        <v>1</v>
      </c>
      <c r="Z40" s="40" t="b">
        <f>(W40^2+X40^2)&lt;=control!$B$2^2</f>
        <v>1</v>
      </c>
      <c r="AA40">
        <f>ASIN(SQRT(W40^2+X40^2)/control!$B$2)/PI()*180</f>
        <v>49.718298980849312</v>
      </c>
      <c r="AB40">
        <f t="shared" si="44"/>
        <v>78.658847788213222</v>
      </c>
      <c r="AC40" s="2">
        <f t="shared" si="45"/>
        <v>11.341152211786785</v>
      </c>
      <c r="AD40" s="1">
        <f t="shared" si="39"/>
        <v>0.30003931119635741</v>
      </c>
      <c r="AE40">
        <f t="shared" si="40"/>
        <v>-6.6542572409755252E-2</v>
      </c>
      <c r="AF40" s="40" t="b">
        <f t="shared" si="51"/>
        <v>0</v>
      </c>
      <c r="AG40" s="40" t="b">
        <f>(AD40^2+AE40^2)&lt;=control!$B$2^2</f>
        <v>1</v>
      </c>
      <c r="AH40">
        <f>ASIN(SQRT(AD40^2+AE40^2)/control!$B$3)/PI()*180</f>
        <v>17.898375135585166</v>
      </c>
      <c r="AI40">
        <f t="shared" si="46"/>
        <v>-12.50463375545978</v>
      </c>
      <c r="AJ40" s="2">
        <f t="shared" si="47"/>
        <v>89.760139972434246</v>
      </c>
    </row>
    <row r="41" spans="1:36" x14ac:dyDescent="0.3">
      <c r="G41" s="1">
        <v>-0.6</v>
      </c>
      <c r="H41">
        <f>G41*control!$C$9/2+control!$C$8</f>
        <v>-6</v>
      </c>
      <c r="I41" s="1">
        <f>control!$B$3*TAN('k3'!$H$32/180*PI())/SQRT(1+TAN('k3'!$H$32/180*PI())^2+TAN('k3'!H41/180*PI())^2)</f>
        <v>0.29920634470024859</v>
      </c>
      <c r="J41">
        <f>control!$B$3*TAN('k3'!H41/180*PI())/SQRT(1+TAN('k3'!$H$32/180*PI())^2+TAN('k3'!H41/180*PI())^2)</f>
        <v>-9.9739850438906014E-2</v>
      </c>
      <c r="K41" s="40" t="b">
        <f t="shared" si="48"/>
        <v>0</v>
      </c>
      <c r="L41" s="40" t="b">
        <f>(I41^2+J41^2)&lt;=control!$B$2^2</f>
        <v>1</v>
      </c>
      <c r="M41">
        <f>ASIN(SQRT(I41^2+J41^2)/control!$B$3)/PI()*180</f>
        <v>18.384514627439579</v>
      </c>
      <c r="N41">
        <f t="shared" si="41"/>
        <v>-18.435707510087717</v>
      </c>
      <c r="O41">
        <f t="shared" si="42"/>
        <v>-71.564292489912305</v>
      </c>
      <c r="P41" s="1">
        <f t="shared" si="35"/>
        <v>-1.2632936552997514</v>
      </c>
      <c r="Q41">
        <f t="shared" si="36"/>
        <v>-9.9739850438906208E-2</v>
      </c>
      <c r="R41" s="40" t="b">
        <f t="shared" si="49"/>
        <v>1</v>
      </c>
      <c r="S41" s="40" t="b">
        <f>(P41^2+Q41^2)&lt;=control!$B$2^2</f>
        <v>1</v>
      </c>
      <c r="T41">
        <f>ASIN(SQRT(P41^2+Q41^2)/control!$B$2)/PI()*180</f>
        <v>39.317147554974248</v>
      </c>
      <c r="U41">
        <f t="shared" si="43"/>
        <v>-175.4857347551893</v>
      </c>
      <c r="V41" s="2">
        <f t="shared" si="9"/>
        <v>-4.5142652448106793</v>
      </c>
      <c r="W41" s="1">
        <f t="shared" si="37"/>
        <v>0.29920634470024865</v>
      </c>
      <c r="X41">
        <f t="shared" si="38"/>
        <v>1.4627601495610945</v>
      </c>
      <c r="Y41" s="40" t="b">
        <f t="shared" si="50"/>
        <v>1</v>
      </c>
      <c r="Z41" s="40" t="b">
        <f>(W41^2+X41^2)&lt;=control!$B$2^2</f>
        <v>1</v>
      </c>
      <c r="AA41">
        <f>ASIN(SQRT(W41^2+X41^2)/control!$B$2)/PI()*180</f>
        <v>48.290157308734592</v>
      </c>
      <c r="AB41">
        <f t="shared" si="44"/>
        <v>78.439665995471444</v>
      </c>
      <c r="AC41" s="2">
        <f t="shared" si="45"/>
        <v>11.560334004528553</v>
      </c>
      <c r="AD41" s="1">
        <f t="shared" si="39"/>
        <v>0.29920634470024876</v>
      </c>
      <c r="AE41">
        <f t="shared" si="40"/>
        <v>-9.9739850438905542E-2</v>
      </c>
      <c r="AF41" s="40" t="b">
        <f t="shared" si="51"/>
        <v>0</v>
      </c>
      <c r="AG41" s="40" t="b">
        <f>(AD41^2+AE41^2)&lt;=control!$B$2^2</f>
        <v>1</v>
      </c>
      <c r="AH41">
        <f>ASIN(SQRT(AD41^2+AE41^2)/control!$B$3)/PI()*180</f>
        <v>18.384514627439579</v>
      </c>
      <c r="AI41">
        <f t="shared" si="46"/>
        <v>-18.435707510087624</v>
      </c>
      <c r="AJ41" s="2">
        <f t="shared" si="47"/>
        <v>83.829066217804794</v>
      </c>
    </row>
    <row r="42" spans="1:36" x14ac:dyDescent="0.3">
      <c r="G42" s="1">
        <v>-0.8</v>
      </c>
      <c r="H42">
        <f>G42*control!$C$9/2+control!$C$8</f>
        <v>-8</v>
      </c>
      <c r="I42" s="1">
        <f>control!$B$3*TAN('k3'!$H$32/180*PI())/SQRT(1+TAN('k3'!$H$32/180*PI())^2+TAN('k3'!H42/180*PI())^2)</f>
        <v>0.29804046508194998</v>
      </c>
      <c r="J42">
        <f>control!$B$3*TAN('k3'!H42/180*PI())/SQRT(1+TAN('k3'!$H$32/180*PI())^2+TAN('k3'!H42/180*PI())^2)</f>
        <v>-0.13284813394504671</v>
      </c>
      <c r="K42" s="40" t="b">
        <f t="shared" si="48"/>
        <v>0</v>
      </c>
      <c r="L42" s="40" t="b">
        <f>(I42^2+J42^2)&lt;=control!$B$2^2</f>
        <v>1</v>
      </c>
      <c r="M42">
        <f>ASIN(SQRT(I42^2+J42^2)/control!$B$3)/PI()*180</f>
        <v>19.044823258221381</v>
      </c>
      <c r="N42">
        <f t="shared" si="41"/>
        <v>-24.024377091132745</v>
      </c>
      <c r="O42">
        <f t="shared" si="42"/>
        <v>-65.975622908867265</v>
      </c>
      <c r="P42" s="1">
        <f t="shared" si="35"/>
        <v>-1.2644595349180501</v>
      </c>
      <c r="Q42">
        <f t="shared" si="36"/>
        <v>-0.13284813394504691</v>
      </c>
      <c r="R42" s="40" t="b">
        <f t="shared" si="49"/>
        <v>1</v>
      </c>
      <c r="S42" s="40" t="b">
        <f>(P42^2+Q42^2)&lt;=control!$B$2^2</f>
        <v>1</v>
      </c>
      <c r="T42">
        <f>ASIN(SQRT(P42^2+Q42^2)/control!$B$2)/PI()*180</f>
        <v>39.472630560082386</v>
      </c>
      <c r="U42">
        <f t="shared" si="43"/>
        <v>-174.0023268605627</v>
      </c>
      <c r="V42" s="2">
        <f t="shared" si="9"/>
        <v>-5.9976731394372891</v>
      </c>
      <c r="W42" s="1">
        <f t="shared" si="37"/>
        <v>0.29804046508194992</v>
      </c>
      <c r="X42">
        <f t="shared" si="38"/>
        <v>1.4296518660549538</v>
      </c>
      <c r="Y42" s="40" t="b">
        <f t="shared" si="50"/>
        <v>1</v>
      </c>
      <c r="Z42" s="40" t="b">
        <f>(W42^2+X42^2)&lt;=control!$B$2^2</f>
        <v>1</v>
      </c>
      <c r="AA42">
        <f>ASIN(SQRT(W42^2+X42^2)/control!$B$2)/PI()*180</f>
        <v>46.902652563140443</v>
      </c>
      <c r="AB42">
        <f t="shared" si="44"/>
        <v>78.224170449548822</v>
      </c>
      <c r="AC42" s="2">
        <f t="shared" si="45"/>
        <v>11.775829550451189</v>
      </c>
      <c r="AD42" s="1">
        <f t="shared" si="39"/>
        <v>0.29804046508195003</v>
      </c>
      <c r="AE42">
        <f t="shared" si="40"/>
        <v>-0.13284813394504624</v>
      </c>
      <c r="AF42" s="40" t="b">
        <f t="shared" si="51"/>
        <v>0</v>
      </c>
      <c r="AG42" s="40" t="b">
        <f>(AD42^2+AE42^2)&lt;=control!$B$2^2</f>
        <v>1</v>
      </c>
      <c r="AH42">
        <f>ASIN(SQRT(AD42^2+AE42^2)/control!$B$3)/PI()*180</f>
        <v>19.044823258221378</v>
      </c>
      <c r="AI42">
        <f t="shared" si="46"/>
        <v>-24.024377091132667</v>
      </c>
      <c r="AJ42" s="2">
        <f t="shared" si="47"/>
        <v>78.240396636759755</v>
      </c>
    </row>
    <row r="43" spans="1:36" x14ac:dyDescent="0.3">
      <c r="G43" s="1">
        <v>-1</v>
      </c>
      <c r="H43">
        <f>G43*control!$C$9/2+control!$C$8</f>
        <v>-10</v>
      </c>
      <c r="I43" s="7">
        <f>control!$B$3*TAN('k3'!$H$32/180*PI())/SQRT(1+TAN('k3'!$H$32/180*PI())^2+TAN('k3'!H43/180*PI())^2)</f>
        <v>0.29654195678697232</v>
      </c>
      <c r="J43" s="6">
        <f>control!$B$3*TAN('k3'!H43/180*PI())/SQRT(1+TAN('k3'!$H$32/180*PI())^2+TAN('k3'!H43/180*PI())^2)</f>
        <v>-0.16583745240358658</v>
      </c>
      <c r="K43" s="6" t="b">
        <f t="shared" si="48"/>
        <v>0</v>
      </c>
      <c r="L43" s="6" t="b">
        <f>(I43^2+J43^2)&lt;=control!$B$2^2</f>
        <v>1</v>
      </c>
      <c r="M43" s="6">
        <f>ASIN(SQRT(I43^2+J43^2)/control!$B$3)/PI()*180</f>
        <v>19.862462001023477</v>
      </c>
      <c r="N43" s="6">
        <f t="shared" si="41"/>
        <v>-29.215567559802889</v>
      </c>
      <c r="O43" s="6">
        <f t="shared" si="42"/>
        <v>-60.784432440197115</v>
      </c>
      <c r="P43" s="7">
        <f t="shared" si="35"/>
        <v>-1.2659580432130277</v>
      </c>
      <c r="Q43" s="6">
        <f t="shared" si="36"/>
        <v>-0.16583745240358677</v>
      </c>
      <c r="R43" s="6" t="b">
        <f t="shared" si="49"/>
        <v>1</v>
      </c>
      <c r="S43" s="6" t="b">
        <f>(P43^2+Q43^2)&lt;=control!$B$2^2</f>
        <v>1</v>
      </c>
      <c r="T43" s="6">
        <f>ASIN(SQRT(P43^2+Q43^2)/control!$B$2)/PI()*180</f>
        <v>39.67164675720786</v>
      </c>
      <c r="U43" s="6">
        <f t="shared" si="43"/>
        <v>-172.5368872850365</v>
      </c>
      <c r="V43" s="8">
        <f t="shared" si="9"/>
        <v>-7.4631127149634837</v>
      </c>
      <c r="W43" s="7">
        <f t="shared" si="37"/>
        <v>0.29654195678697226</v>
      </c>
      <c r="X43" s="6">
        <f t="shared" si="38"/>
        <v>1.3966625475964138</v>
      </c>
      <c r="Y43" s="6" t="b">
        <f t="shared" si="50"/>
        <v>1</v>
      </c>
      <c r="Z43" s="6" t="b">
        <f>(W43^2+X43^2)&lt;=control!$B$2^2</f>
        <v>1</v>
      </c>
      <c r="AA43" s="6">
        <f>ASIN(SQRT(W43^2+X43^2)/control!$B$2)/PI()*180</f>
        <v>45.552987370975259</v>
      </c>
      <c r="AB43" s="6">
        <f t="shared" si="44"/>
        <v>78.012868033733511</v>
      </c>
      <c r="AC43" s="8">
        <f t="shared" si="45"/>
        <v>11.987131966266494</v>
      </c>
      <c r="AD43" s="7">
        <f t="shared" si="39"/>
        <v>0.29654195678697237</v>
      </c>
      <c r="AE43" s="6">
        <f t="shared" si="40"/>
        <v>-0.16583745240358616</v>
      </c>
      <c r="AF43" s="6" t="b">
        <f t="shared" si="51"/>
        <v>0</v>
      </c>
      <c r="AG43" s="6" t="b">
        <f>(AD43^2+AE43^2)&lt;=control!$B$2^2</f>
        <v>1</v>
      </c>
      <c r="AH43" s="6">
        <f>ASIN(SQRT(AD43^2+AE43^2)/control!$B$3)/PI()*180</f>
        <v>19.86246200102347</v>
      </c>
      <c r="AI43" s="6">
        <f t="shared" si="46"/>
        <v>-29.215567559802828</v>
      </c>
      <c r="AJ43" s="8">
        <f t="shared" si="47"/>
        <v>73.049206168089626</v>
      </c>
    </row>
    <row r="44" spans="1:36" x14ac:dyDescent="0.3">
      <c r="L44" s="40"/>
      <c r="O44" s="2"/>
      <c r="S44" s="40"/>
      <c r="V44" s="2"/>
      <c r="Z44" s="40"/>
      <c r="AC44" s="2"/>
      <c r="AG44" s="40"/>
    </row>
    <row r="45" spans="1:36" x14ac:dyDescent="0.3">
      <c r="G45" s="1" t="s">
        <v>15</v>
      </c>
      <c r="H45">
        <v>-1</v>
      </c>
      <c r="L45" s="40"/>
      <c r="O45" s="2"/>
      <c r="S45" s="40"/>
      <c r="V45" s="2"/>
      <c r="Z45" s="40"/>
      <c r="AC45" s="2"/>
      <c r="AG45" s="40"/>
    </row>
    <row r="46" spans="1:36" x14ac:dyDescent="0.3">
      <c r="H46">
        <f>H45*control!$C$9/2+control!$C$8</f>
        <v>-10</v>
      </c>
      <c r="I46" s="7"/>
      <c r="J46" s="6"/>
      <c r="L46" s="40"/>
      <c r="M46" s="6"/>
      <c r="N46" s="6"/>
      <c r="O46" s="8"/>
      <c r="P46" s="7"/>
      <c r="Q46" s="6"/>
      <c r="S46" s="40"/>
      <c r="T46" s="6"/>
      <c r="U46" s="6"/>
      <c r="V46" s="8"/>
      <c r="W46" s="7"/>
      <c r="X46" s="6"/>
      <c r="Z46" s="40"/>
      <c r="AA46" s="6"/>
      <c r="AB46" s="6"/>
      <c r="AC46" s="8"/>
      <c r="AD46" s="7"/>
      <c r="AE46" s="6"/>
      <c r="AG46" s="40"/>
      <c r="AH46" s="6"/>
      <c r="AI46" s="6"/>
      <c r="AJ46" s="8"/>
    </row>
    <row r="47" spans="1:36" x14ac:dyDescent="0.3">
      <c r="G47" s="1">
        <v>1</v>
      </c>
      <c r="H47">
        <f>G47*control!$B$9/2+control!$B$8</f>
        <v>17.5</v>
      </c>
      <c r="I47" s="1">
        <f>control!$B$3*TAN('k3'!H47/180*PI())/SQRT(1+TAN('k3'!H47/180*PI())^2+TAN('k3'!$H$46/180*PI())^2)</f>
        <v>0.29654195678697232</v>
      </c>
      <c r="J47">
        <f>control!$B$3*TAN('k3'!$H$46/180*PI())/SQRT(1+TAN('k3'!H47/180*PI())^2+TAN('k3'!$H$46/180*PI())^2)</f>
        <v>-0.16583745240358658</v>
      </c>
      <c r="K47" s="3" t="b">
        <f>(I47^2+J47^2)&gt;=1</f>
        <v>0</v>
      </c>
      <c r="L47" s="3" t="b">
        <f>(I47^2+J47^2)&lt;=control!$B$2^2</f>
        <v>1</v>
      </c>
      <c r="M47">
        <f>ASIN(SQRT(I47^2+J47^2)/control!$B$3)/PI()*180</f>
        <v>19.862462001023477</v>
      </c>
      <c r="N47">
        <f>ATAN2(I47,J47)/PI()*180</f>
        <v>-29.215567559802889</v>
      </c>
      <c r="O47" s="3">
        <f>ASIN((I47*$J$58-$I$58*J47)/(SQRT(I47^2+J47^2)*SQRT($I$58^2+$J$58^2)))/PI()*180</f>
        <v>-60.784432440197115</v>
      </c>
      <c r="P47" s="1">
        <f t="shared" ref="P47:P57" si="52">I47+$P$4</f>
        <v>-1.2659580432130277</v>
      </c>
      <c r="Q47">
        <f t="shared" ref="Q47:Q57" si="53">J47+$Q$4</f>
        <v>-0.16583745240358677</v>
      </c>
      <c r="R47" s="3" t="b">
        <f>(P47^2+Q47^2)&gt;=1</f>
        <v>1</v>
      </c>
      <c r="S47" s="3" t="b">
        <f>(P47^2+Q47^2)&lt;=control!$B$2^2</f>
        <v>1</v>
      </c>
      <c r="T47">
        <f>ASIN(SQRT(P47^2+Q47^2)/control!$B$2)/PI()*180</f>
        <v>39.67164675720786</v>
      </c>
      <c r="U47">
        <f>ATAN2(P47,Q47)/PI()*180</f>
        <v>-172.5368872850365</v>
      </c>
      <c r="V47" s="5">
        <f t="shared" ref="V47:V57" si="54">ASIN((P47*$Q$58-$P$58*Q47)/(SQRT(P47^2+Q47^2)*SQRT($P$58^2+$Q$58^2)))/PI()*180</f>
        <v>-7.4631127149634837</v>
      </c>
      <c r="W47" s="1">
        <f t="shared" ref="W47:W57" si="55">P47+$W$4</f>
        <v>0.29654195678697226</v>
      </c>
      <c r="X47">
        <f t="shared" ref="X47:X57" si="56">Q47+$X$4</f>
        <v>1.3966625475964138</v>
      </c>
      <c r="Y47" s="3" t="b">
        <f>(W47^2+X47^2)&gt;=1</f>
        <v>1</v>
      </c>
      <c r="Z47" s="3" t="b">
        <f>(W47^2+X47^2)&lt;=control!$B$2^2</f>
        <v>1</v>
      </c>
      <c r="AA47">
        <f>ASIN(SQRT(W47^2+X47^2)/control!$B$2)/PI()*180</f>
        <v>45.552987370975259</v>
      </c>
      <c r="AB47">
        <f>ATAN2(W47,X47)/PI()*180</f>
        <v>78.012868033733511</v>
      </c>
      <c r="AC47" s="5">
        <f>ASIN((W47*$X$58-$W$58*X47)/(SQRT(W47^2+X47^2)*SQRT($W$58^2+$X$58^2)))/PI()*180</f>
        <v>11.987131966266494</v>
      </c>
      <c r="AD47" s="1">
        <f t="shared" ref="AD47:AD57" si="57">W47+$AD$4</f>
        <v>0.29654195678697237</v>
      </c>
      <c r="AE47">
        <f t="shared" ref="AE47:AE57" si="58">X47+$AE$4</f>
        <v>-0.16583745240358616</v>
      </c>
      <c r="AF47" s="3" t="b">
        <f>(AD47^2+AE47^2)&gt;=1</f>
        <v>0</v>
      </c>
      <c r="AG47" s="3" t="b">
        <f>(AD47^2+AE47^2)&lt;=control!$B$2^2</f>
        <v>1</v>
      </c>
      <c r="AH47">
        <f>ASIN(SQRT(AD47^2+AE47^2)/control!$B$3)/PI()*180</f>
        <v>19.86246200102347</v>
      </c>
      <c r="AI47">
        <f>ATAN2(AD47,AE47)/PI()*180</f>
        <v>-29.215567559802828</v>
      </c>
      <c r="AJ47" s="5">
        <f>ASIN((AD47*$AE$58-$AD$58*AE47)/(SQRT(AD47^2+AE47^2)*SQRT($AD$58^2+$AE$58^2)))/PI()*180</f>
        <v>73.049206168089626</v>
      </c>
    </row>
    <row r="48" spans="1:36" x14ac:dyDescent="0.3">
      <c r="G48" s="1">
        <v>0.8</v>
      </c>
      <c r="H48">
        <f>G48*control!$B$9/2+control!$B$8</f>
        <v>14</v>
      </c>
      <c r="I48" s="1">
        <f>control!$B$3*TAN('k3'!H48/180*PI())/SQRT(1+TAN('k3'!H48/180*PI())^2+TAN('k3'!$H$46/180*PI())^2)</f>
        <v>0.23845706356958102</v>
      </c>
      <c r="J48">
        <f>control!$B$3*TAN('k3'!$H$46/180*PI())/SQRT(1+TAN('k3'!H48/180*PI())^2+TAN('k3'!$H$46/180*PI())^2)</f>
        <v>-0.16863895578659316</v>
      </c>
      <c r="K48" s="40" t="b">
        <f>(I48^2+J48^2)&gt;=1</f>
        <v>0</v>
      </c>
      <c r="L48" s="40" t="b">
        <f>(I48^2+J48^2)&lt;=control!$B$2^2</f>
        <v>1</v>
      </c>
      <c r="M48">
        <f>ASIN(SQRT(I48^2+J48^2)/control!$B$3)/PI()*180</f>
        <v>16.9815127090834</v>
      </c>
      <c r="N48">
        <f t="shared" ref="N48:N57" si="59">ATAN2(I48,J48)/PI()*180</f>
        <v>-35.2682898519896</v>
      </c>
      <c r="O48">
        <f t="shared" ref="O48:O57" si="60">ASIN((I48*$J$58-$I$58*J48)/(SQRT(I48^2+J48^2)*SQRT($I$58^2+$J$58^2)))/PI()*180</f>
        <v>-54.731710148010386</v>
      </c>
      <c r="P48" s="1">
        <f t="shared" si="52"/>
        <v>-1.3240429364304189</v>
      </c>
      <c r="Q48">
        <f t="shared" si="53"/>
        <v>-0.16863895578659335</v>
      </c>
      <c r="R48" s="40" t="b">
        <f>(P48^2+Q48^2)&gt;=1</f>
        <v>1</v>
      </c>
      <c r="S48" s="40" t="b">
        <f>(P48^2+Q48^2)&lt;=control!$B$2^2</f>
        <v>1</v>
      </c>
      <c r="T48">
        <f>ASIN(SQRT(P48^2+Q48^2)/control!$B$2)/PI()*180</f>
        <v>41.864373353842979</v>
      </c>
      <c r="U48">
        <f t="shared" ref="U48:U57" si="61">ATAN2(P48,Q48)/PI()*180</f>
        <v>-172.74150804311572</v>
      </c>
      <c r="V48" s="2">
        <f t="shared" si="54"/>
        <v>-7.2584919568842654</v>
      </c>
      <c r="W48" s="1">
        <f t="shared" si="55"/>
        <v>0.23845706356958107</v>
      </c>
      <c r="X48">
        <f t="shared" si="56"/>
        <v>1.3938610442134074</v>
      </c>
      <c r="Y48" s="40" t="b">
        <f>(W48^2+X48^2)&gt;=1</f>
        <v>1</v>
      </c>
      <c r="Z48" s="40" t="b">
        <f>(W48^2+X48^2)&lt;=control!$B$2^2</f>
        <v>1</v>
      </c>
      <c r="AA48">
        <f>ASIN(SQRT(W48^2+X48^2)/control!$B$2)/PI()*180</f>
        <v>44.995851524020985</v>
      </c>
      <c r="AB48">
        <f t="shared" ref="AB48:AB57" si="62">ATAN2(W48,X48)/PI()*180</f>
        <v>80.292011138806274</v>
      </c>
      <c r="AC48" s="2">
        <f t="shared" ref="AC48:AC57" si="63">ASIN((W48*$X$58-$W$58*X48)/(SQRT(W48^2+X48^2)*SQRT($W$58^2+$X$58^2)))/PI()*180</f>
        <v>9.7079888611937353</v>
      </c>
      <c r="AD48" s="1">
        <f t="shared" si="57"/>
        <v>0.23845706356958116</v>
      </c>
      <c r="AE48">
        <f t="shared" si="58"/>
        <v>-0.1686389557865926</v>
      </c>
      <c r="AF48" s="40" t="b">
        <f>(AD48^2+AE48^2)&gt;=1</f>
        <v>0</v>
      </c>
      <c r="AG48" s="40" t="b">
        <f>(AD48^2+AE48^2)&lt;=control!$B$2^2</f>
        <v>1</v>
      </c>
      <c r="AH48">
        <f>ASIN(SQRT(AD48^2+AE48^2)/control!$B$3)/PI()*180</f>
        <v>16.981512709083393</v>
      </c>
      <c r="AI48">
        <f t="shared" ref="AI48:AI57" si="64">ATAN2(AD48,AE48)/PI()*180</f>
        <v>-35.268289851989501</v>
      </c>
      <c r="AJ48" s="2">
        <f t="shared" ref="AJ48:AJ57" si="65">ASIN((AD48*$AE$58-$AD$58*AE48)/(SQRT(AD48^2+AE48^2)*SQRT($AD$58^2+$AE$58^2)))/PI()*180</f>
        <v>66.996483875902911</v>
      </c>
    </row>
    <row r="49" spans="7:36" x14ac:dyDescent="0.3">
      <c r="G49" s="1">
        <v>0.6</v>
      </c>
      <c r="H49">
        <f>G49*control!$B$9/2+control!$B$8</f>
        <v>10.5</v>
      </c>
      <c r="I49" s="1">
        <f>control!$B$3*TAN('k3'!H49/180*PI())/SQRT(1+TAN('k3'!H49/180*PI())^2+TAN('k3'!$H$46/180*PI())^2)</f>
        <v>0.1795568848144925</v>
      </c>
      <c r="J49">
        <f>control!$B$3*TAN('k3'!$H$46/180*PI())/SQRT(1+TAN('k3'!H49/180*PI())^2+TAN('k3'!$H$46/180*PI())^2)</f>
        <v>-0.17082597666591404</v>
      </c>
      <c r="K49" s="40" t="b">
        <f t="shared" ref="K49:K57" si="66">(I49^2+J49^2)&gt;=1</f>
        <v>0</v>
      </c>
      <c r="L49" s="40" t="b">
        <f>(I49^2+J49^2)&lt;=control!$B$2^2</f>
        <v>1</v>
      </c>
      <c r="M49">
        <f>ASIN(SQRT(I49^2+J49^2)/control!$B$3)/PI()*180</f>
        <v>14.349435774653708</v>
      </c>
      <c r="N49">
        <f t="shared" si="59"/>
        <v>-43.572588031087093</v>
      </c>
      <c r="O49">
        <f t="shared" si="60"/>
        <v>-46.427411968912921</v>
      </c>
      <c r="P49" s="1">
        <f t="shared" si="52"/>
        <v>-1.3829431151855074</v>
      </c>
      <c r="Q49">
        <f t="shared" si="53"/>
        <v>-0.17082597666591423</v>
      </c>
      <c r="R49" s="40" t="b">
        <f t="shared" ref="R49:R57" si="67">(P49^2+Q49^2)&gt;=1</f>
        <v>1</v>
      </c>
      <c r="S49" s="40" t="b">
        <f>(P49^2+Q49^2)&lt;=control!$B$2^2</f>
        <v>1</v>
      </c>
      <c r="T49">
        <f>ASIN(SQRT(P49^2+Q49^2)/control!$B$2)/PI()*180</f>
        <v>44.164984489029784</v>
      </c>
      <c r="U49">
        <f t="shared" si="61"/>
        <v>-172.9582943413385</v>
      </c>
      <c r="V49" s="2">
        <f t="shared" si="54"/>
        <v>-7.0417056586614919</v>
      </c>
      <c r="W49" s="1">
        <f t="shared" si="55"/>
        <v>0.17955688481449261</v>
      </c>
      <c r="X49">
        <f t="shared" si="56"/>
        <v>1.3916740233340865</v>
      </c>
      <c r="Y49" s="40" t="b">
        <f t="shared" ref="Y49:Y57" si="68">(W49^2+X49^2)&gt;=1</f>
        <v>1</v>
      </c>
      <c r="Z49" s="40" t="b">
        <f>(W49^2+X49^2)&lt;=control!$B$2^2</f>
        <v>1</v>
      </c>
      <c r="AA49">
        <f>ASIN(SQRT(W49^2+X49^2)/control!$B$2)/PI()*180</f>
        <v>44.555900704519409</v>
      </c>
      <c r="AB49">
        <f t="shared" si="62"/>
        <v>82.648185842046374</v>
      </c>
      <c r="AC49" s="2">
        <f t="shared" si="63"/>
        <v>7.3518141579536351</v>
      </c>
      <c r="AD49" s="1">
        <f t="shared" si="57"/>
        <v>0.1795568848144927</v>
      </c>
      <c r="AE49">
        <f t="shared" si="58"/>
        <v>-0.17082597666591348</v>
      </c>
      <c r="AF49" s="40" t="b">
        <f t="shared" ref="AF49:AF57" si="69">(AD49^2+AE49^2)&gt;=1</f>
        <v>0</v>
      </c>
      <c r="AG49" s="40" t="b">
        <f>(AD49^2+AE49^2)&lt;=control!$B$2^2</f>
        <v>1</v>
      </c>
      <c r="AH49">
        <f>ASIN(SQRT(AD49^2+AE49^2)/control!$B$3)/PI()*180</f>
        <v>14.349435774653697</v>
      </c>
      <c r="AI49">
        <f t="shared" si="64"/>
        <v>-43.572588031086973</v>
      </c>
      <c r="AJ49" s="2">
        <f t="shared" si="65"/>
        <v>58.692185696805453</v>
      </c>
    </row>
    <row r="50" spans="7:36" x14ac:dyDescent="0.3">
      <c r="G50" s="1">
        <v>0.4</v>
      </c>
      <c r="H50">
        <f>G50*control!$B$9/2+control!$B$8</f>
        <v>7</v>
      </c>
      <c r="I50" s="1">
        <f>control!$B$3*TAN('k3'!H50/180*PI())/SQRT(1+TAN('k3'!H50/180*PI())^2+TAN('k3'!$H$46/180*PI())^2)</f>
        <v>0.12004475807606822</v>
      </c>
      <c r="J50">
        <f>control!$B$3*TAN('k3'!$H$46/180*PI())/SQRT(1+TAN('k3'!H50/180*PI())^2+TAN('k3'!$H$46/180*PI())^2)</f>
        <v>-0.17239243750010019</v>
      </c>
      <c r="K50" s="40" t="b">
        <f t="shared" si="66"/>
        <v>0</v>
      </c>
      <c r="L50" s="40" t="b">
        <f>(I50^2+J50^2)&lt;=control!$B$2^2</f>
        <v>1</v>
      </c>
      <c r="M50">
        <f>ASIN(SQRT(I50^2+J50^2)/control!$B$3)/PI()*180</f>
        <v>12.126523017514099</v>
      </c>
      <c r="N50">
        <f t="shared" si="59"/>
        <v>-55.148736250548993</v>
      </c>
      <c r="O50">
        <f t="shared" si="60"/>
        <v>-34.851263749451007</v>
      </c>
      <c r="P50" s="1">
        <f t="shared" si="52"/>
        <v>-1.4424552419239318</v>
      </c>
      <c r="Q50">
        <f t="shared" si="53"/>
        <v>-0.17239243750010039</v>
      </c>
      <c r="R50" s="40" t="b">
        <f t="shared" si="67"/>
        <v>1</v>
      </c>
      <c r="S50" s="40" t="b">
        <f>(P50^2+Q50^2)&lt;=control!$B$2^2</f>
        <v>1</v>
      </c>
      <c r="T50">
        <f>ASIN(SQRT(P50^2+Q50^2)/control!$B$2)/PI()*180</f>
        <v>46.58211429450445</v>
      </c>
      <c r="U50">
        <f t="shared" si="61"/>
        <v>-173.18472398600733</v>
      </c>
      <c r="V50" s="2">
        <f t="shared" si="54"/>
        <v>-6.8152760139926549</v>
      </c>
      <c r="W50" s="1">
        <f t="shared" si="55"/>
        <v>0.12004475807606818</v>
      </c>
      <c r="X50">
        <f t="shared" si="56"/>
        <v>1.3901075624999002</v>
      </c>
      <c r="Y50" s="40" t="b">
        <f t="shared" si="68"/>
        <v>1</v>
      </c>
      <c r="Z50" s="40" t="b">
        <f>(W50^2+X50^2)&lt;=control!$B$2^2</f>
        <v>1</v>
      </c>
      <c r="AA50">
        <f>ASIN(SQRT(W50^2+X50^2)/control!$B$2)/PI()*180</f>
        <v>44.238016366905882</v>
      </c>
      <c r="AB50">
        <f t="shared" si="62"/>
        <v>85.064384432176539</v>
      </c>
      <c r="AC50" s="2">
        <f t="shared" si="63"/>
        <v>4.9356155678234614</v>
      </c>
      <c r="AD50" s="1">
        <f t="shared" si="57"/>
        <v>0.12004475807606828</v>
      </c>
      <c r="AE50">
        <f t="shared" si="58"/>
        <v>-0.1723924375000998</v>
      </c>
      <c r="AF50" s="40" t="b">
        <f t="shared" si="69"/>
        <v>0</v>
      </c>
      <c r="AG50" s="40" t="b">
        <f>(AD50^2+AE50^2)&lt;=control!$B$2^2</f>
        <v>1</v>
      </c>
      <c r="AH50">
        <f>ASIN(SQRT(AD50^2+AE50^2)/control!$B$3)/PI()*180</f>
        <v>12.126523017514081</v>
      </c>
      <c r="AI50">
        <f t="shared" si="64"/>
        <v>-55.148736250548922</v>
      </c>
      <c r="AJ50" s="2">
        <f t="shared" si="65"/>
        <v>47.11603747734349</v>
      </c>
    </row>
    <row r="51" spans="7:36" x14ac:dyDescent="0.3">
      <c r="G51" s="1">
        <v>0.2</v>
      </c>
      <c r="H51">
        <f>G51*control!$B$9/2+control!$B$8</f>
        <v>3.5</v>
      </c>
      <c r="I51" s="1">
        <f>control!$B$3*TAN('k3'!H51/180*PI())/SQRT(1+TAN('k3'!H51/180*PI())^2+TAN('k3'!$H$46/180*PI())^2)</f>
        <v>6.0124453547445153E-2</v>
      </c>
      <c r="J51">
        <f>control!$B$3*TAN('k3'!$H$46/180*PI())/SQRT(1+TAN('k3'!H51/180*PI())^2+TAN('k3'!$H$46/180*PI())^2)</f>
        <v>-0.17333402876925988</v>
      </c>
      <c r="K51" s="40" t="b">
        <f t="shared" si="66"/>
        <v>0</v>
      </c>
      <c r="L51" s="40" t="b">
        <f>(I51^2+J51^2)&lt;=control!$B$2^2</f>
        <v>1</v>
      </c>
      <c r="M51">
        <f>ASIN(SQRT(I51^2+J51^2)/control!$B$3)/PI()*180</f>
        <v>10.57168810780826</v>
      </c>
      <c r="N51">
        <f t="shared" si="59"/>
        <v>-70.869850757513078</v>
      </c>
      <c r="O51">
        <f t="shared" si="60"/>
        <v>-19.130149242486926</v>
      </c>
      <c r="P51" s="1">
        <f t="shared" si="52"/>
        <v>-1.5023755464525548</v>
      </c>
      <c r="Q51">
        <f t="shared" si="53"/>
        <v>-0.17333402876926007</v>
      </c>
      <c r="R51" s="40" t="b">
        <f t="shared" si="67"/>
        <v>1</v>
      </c>
      <c r="S51" s="40" t="b">
        <f>(P51^2+Q51^2)&lt;=control!$B$2^2</f>
        <v>1</v>
      </c>
      <c r="T51">
        <f>ASIN(SQRT(P51^2+Q51^2)/control!$B$2)/PI()*180</f>
        <v>49.127774982315657</v>
      </c>
      <c r="U51">
        <f t="shared" si="61"/>
        <v>-173.41869499565425</v>
      </c>
      <c r="V51" s="2">
        <f t="shared" si="54"/>
        <v>-6.581305004345734</v>
      </c>
      <c r="W51" s="1">
        <f t="shared" si="55"/>
        <v>6.0124453547445222E-2</v>
      </c>
      <c r="X51">
        <f t="shared" si="56"/>
        <v>1.3891659712307405</v>
      </c>
      <c r="Y51" s="40" t="b">
        <f t="shared" si="68"/>
        <v>1</v>
      </c>
      <c r="Z51" s="40" t="b">
        <f>(W51^2+X51^2)&lt;=control!$B$2^2</f>
        <v>1</v>
      </c>
      <c r="AA51">
        <f>ASIN(SQRT(W51^2+X51^2)/control!$B$2)/PI()*180</f>
        <v>44.045806531222233</v>
      </c>
      <c r="AB51">
        <f t="shared" si="62"/>
        <v>87.521729664280784</v>
      </c>
      <c r="AC51" s="2">
        <f t="shared" si="63"/>
        <v>2.4782703357192242</v>
      </c>
      <c r="AD51" s="1">
        <f t="shared" si="57"/>
        <v>6.012445354744532E-2</v>
      </c>
      <c r="AE51">
        <f t="shared" si="58"/>
        <v>-0.17333402876925952</v>
      </c>
      <c r="AF51" s="40" t="b">
        <f t="shared" si="69"/>
        <v>0</v>
      </c>
      <c r="AG51" s="40" t="b">
        <f>(AD51^2+AE51^2)&lt;=control!$B$2^2</f>
        <v>1</v>
      </c>
      <c r="AH51">
        <f>ASIN(SQRT(AD51^2+AE51^2)/control!$B$3)/PI()*180</f>
        <v>10.571688107808246</v>
      </c>
      <c r="AI51">
        <f t="shared" si="64"/>
        <v>-70.869850757512992</v>
      </c>
      <c r="AJ51" s="2">
        <f t="shared" si="65"/>
        <v>31.394922970379412</v>
      </c>
    </row>
    <row r="52" spans="7:36" x14ac:dyDescent="0.3">
      <c r="G52" s="1">
        <v>0</v>
      </c>
      <c r="H52">
        <f>G52*control!$B$9/2+control!$B$8</f>
        <v>0</v>
      </c>
      <c r="I52" s="1">
        <f>control!$B$3*TAN('k3'!H52/180*PI())/SQRT(1+TAN('k3'!H52/180*PI())^2+TAN('k3'!$H$46/180*PI())^2)</f>
        <v>0</v>
      </c>
      <c r="J52">
        <f>control!$B$3*TAN('k3'!$H$46/180*PI())/SQRT(1+TAN('k3'!H52/180*PI())^2+TAN('k3'!$H$46/180*PI())^2)</f>
        <v>-0.17364817766693036</v>
      </c>
      <c r="K52" s="40" t="b">
        <f t="shared" si="66"/>
        <v>0</v>
      </c>
      <c r="L52" s="40" t="b">
        <f>(I52^2+J52^2)&lt;=control!$B$2^2</f>
        <v>1</v>
      </c>
      <c r="M52">
        <f>ASIN(SQRT(I52^2+J52^2)/control!$B$3)/PI()*180</f>
        <v>10.000000000000002</v>
      </c>
      <c r="N52">
        <f t="shared" si="59"/>
        <v>-90</v>
      </c>
      <c r="O52">
        <f t="shared" si="60"/>
        <v>0</v>
      </c>
      <c r="P52" s="1">
        <f t="shared" si="52"/>
        <v>-1.5625</v>
      </c>
      <c r="Q52">
        <f t="shared" si="53"/>
        <v>-0.17364817766693055</v>
      </c>
      <c r="R52" s="40" t="b">
        <f t="shared" si="67"/>
        <v>1</v>
      </c>
      <c r="S52" s="40" t="b">
        <f>(P52^2+Q52^2)&lt;=control!$B$2^2</f>
        <v>1</v>
      </c>
      <c r="T52">
        <f>ASIN(SQRT(P52^2+Q52^2)/control!$B$2)/PI()*180</f>
        <v>51.818801886660232</v>
      </c>
      <c r="U52">
        <f t="shared" si="61"/>
        <v>-173.65846562863806</v>
      </c>
      <c r="V52" s="2">
        <f t="shared" si="54"/>
        <v>-6.3415343713619432</v>
      </c>
      <c r="W52" s="1">
        <f t="shared" si="55"/>
        <v>0</v>
      </c>
      <c r="X52">
        <f t="shared" si="56"/>
        <v>1.3888518223330701</v>
      </c>
      <c r="Y52" s="40" t="b">
        <f t="shared" si="68"/>
        <v>1</v>
      </c>
      <c r="Z52" s="40" t="b">
        <f>(W52^2+X52^2)&lt;=control!$B$2^2</f>
        <v>1</v>
      </c>
      <c r="AA52">
        <f>ASIN(SQRT(W52^2+X52^2)/control!$B$2)/PI()*180</f>
        <v>43.981487387421403</v>
      </c>
      <c r="AB52">
        <f t="shared" si="62"/>
        <v>90</v>
      </c>
      <c r="AC52" s="2">
        <f t="shared" si="63"/>
        <v>3.7010090838848183E-16</v>
      </c>
      <c r="AD52" s="1">
        <f t="shared" si="57"/>
        <v>9.5714723039735938E-17</v>
      </c>
      <c r="AE52">
        <f t="shared" si="58"/>
        <v>-0.17364817766692986</v>
      </c>
      <c r="AF52" s="40" t="b">
        <f t="shared" si="69"/>
        <v>0</v>
      </c>
      <c r="AG52" s="40" t="b">
        <f>(AD52^2+AE52^2)&lt;=control!$B$2^2</f>
        <v>1</v>
      </c>
      <c r="AH52">
        <f>ASIN(SQRT(AD52^2+AE52^2)/control!$B$3)/PI()*180</f>
        <v>9.9999999999999734</v>
      </c>
      <c r="AI52">
        <f t="shared" si="64"/>
        <v>-89.999999999999972</v>
      </c>
      <c r="AJ52" s="2">
        <f t="shared" si="65"/>
        <v>12.264773727892436</v>
      </c>
    </row>
    <row r="53" spans="7:36" x14ac:dyDescent="0.3">
      <c r="G53" s="1">
        <v>-0.2</v>
      </c>
      <c r="H53">
        <f>G53*control!$B$9/2+control!$B$8</f>
        <v>-3.5</v>
      </c>
      <c r="I53" s="1">
        <f>control!$B$3*TAN('k3'!H53/180*PI())/SQRT(1+TAN('k3'!H53/180*PI())^2+TAN('k3'!$H$46/180*PI())^2)</f>
        <v>-6.0124453547445153E-2</v>
      </c>
      <c r="J53">
        <f>control!$B$3*TAN('k3'!$H$46/180*PI())/SQRT(1+TAN('k3'!H53/180*PI())^2+TAN('k3'!$H$46/180*PI())^2)</f>
        <v>-0.17333402876925988</v>
      </c>
      <c r="K53" s="40" t="b">
        <f t="shared" si="66"/>
        <v>0</v>
      </c>
      <c r="L53" s="40" t="b">
        <f>(I53^2+J53^2)&lt;=control!$B$2^2</f>
        <v>1</v>
      </c>
      <c r="M53">
        <f>ASIN(SQRT(I53^2+J53^2)/control!$B$3)/PI()*180</f>
        <v>10.57168810780826</v>
      </c>
      <c r="N53">
        <f t="shared" si="59"/>
        <v>-109.13014924248694</v>
      </c>
      <c r="O53">
        <f t="shared" si="60"/>
        <v>19.130149242486926</v>
      </c>
      <c r="P53" s="1">
        <f t="shared" si="52"/>
        <v>-1.6226244535474452</v>
      </c>
      <c r="Q53">
        <f t="shared" si="53"/>
        <v>-0.17333402876926007</v>
      </c>
      <c r="R53" s="40" t="b">
        <f t="shared" si="67"/>
        <v>1</v>
      </c>
      <c r="S53" s="40" t="b">
        <f>(P53^2+Q53^2)&lt;=control!$B$2^2</f>
        <v>1</v>
      </c>
      <c r="T53">
        <f>ASIN(SQRT(P53^2+Q53^2)/control!$B$2)/PI()*180</f>
        <v>54.679236145435297</v>
      </c>
      <c r="U53">
        <f t="shared" si="61"/>
        <v>-173.90260096841038</v>
      </c>
      <c r="V53" s="2">
        <f t="shared" si="54"/>
        <v>-6.0973990315896192</v>
      </c>
      <c r="W53" s="1">
        <f t="shared" si="55"/>
        <v>-6.0124453547445222E-2</v>
      </c>
      <c r="X53">
        <f t="shared" si="56"/>
        <v>1.3891659712307405</v>
      </c>
      <c r="Y53" s="40" t="b">
        <f t="shared" si="68"/>
        <v>1</v>
      </c>
      <c r="Z53" s="40" t="b">
        <f>(W53^2+X53^2)&lt;=control!$B$2^2</f>
        <v>1</v>
      </c>
      <c r="AA53">
        <f>ASIN(SQRT(W53^2+X53^2)/control!$B$2)/PI()*180</f>
        <v>44.045806531222233</v>
      </c>
      <c r="AB53">
        <f t="shared" si="62"/>
        <v>92.478270335719216</v>
      </c>
      <c r="AC53" s="2">
        <f t="shared" si="63"/>
        <v>-2.4782703357192233</v>
      </c>
      <c r="AD53" s="1">
        <f t="shared" si="57"/>
        <v>-6.0124453547445125E-2</v>
      </c>
      <c r="AE53">
        <f t="shared" si="58"/>
        <v>-0.17333402876925952</v>
      </c>
      <c r="AF53" s="40" t="b">
        <f t="shared" si="69"/>
        <v>0</v>
      </c>
      <c r="AG53" s="40" t="b">
        <f>(AD53^2+AE53^2)&lt;=control!$B$2^2</f>
        <v>1</v>
      </c>
      <c r="AH53">
        <f>ASIN(SQRT(AD53^2+AE53^2)/control!$B$3)/PI()*180</f>
        <v>10.571688107808242</v>
      </c>
      <c r="AI53">
        <f t="shared" si="64"/>
        <v>-109.13014924248695</v>
      </c>
      <c r="AJ53" s="2">
        <f t="shared" si="65"/>
        <v>-6.8653755145945548</v>
      </c>
    </row>
    <row r="54" spans="7:36" x14ac:dyDescent="0.3">
      <c r="G54" s="1">
        <v>-0.4</v>
      </c>
      <c r="H54">
        <f>G54*control!$B$9/2+control!$B$8</f>
        <v>-7</v>
      </c>
      <c r="I54" s="1">
        <f>control!$B$3*TAN('k3'!H54/180*PI())/SQRT(1+TAN('k3'!H54/180*PI())^2+TAN('k3'!$H$46/180*PI())^2)</f>
        <v>-0.12004475807606822</v>
      </c>
      <c r="J54">
        <f>control!$B$3*TAN('k3'!$H$46/180*PI())/SQRT(1+TAN('k3'!H54/180*PI())^2+TAN('k3'!$H$46/180*PI())^2)</f>
        <v>-0.17239243750010019</v>
      </c>
      <c r="K54" s="40" t="b">
        <f t="shared" si="66"/>
        <v>0</v>
      </c>
      <c r="L54" s="40" t="b">
        <f>(I54^2+J54^2)&lt;=control!$B$2^2</f>
        <v>1</v>
      </c>
      <c r="M54">
        <f>ASIN(SQRT(I54^2+J54^2)/control!$B$3)/PI()*180</f>
        <v>12.126523017514099</v>
      </c>
      <c r="N54">
        <f t="shared" si="59"/>
        <v>-124.85126374945099</v>
      </c>
      <c r="O54">
        <f t="shared" si="60"/>
        <v>34.851263749451007</v>
      </c>
      <c r="P54" s="1">
        <f t="shared" si="52"/>
        <v>-1.6825447580760682</v>
      </c>
      <c r="Q54">
        <f t="shared" si="53"/>
        <v>-0.17239243750010039</v>
      </c>
      <c r="R54" s="40" t="b">
        <f t="shared" si="67"/>
        <v>1</v>
      </c>
      <c r="S54" s="40" t="b">
        <f>(P54^2+Q54^2)&lt;=control!$B$2^2</f>
        <v>1</v>
      </c>
      <c r="T54">
        <f>ASIN(SQRT(P54^2+Q54^2)/control!$B$2)/PI()*180</f>
        <v>57.744506435542029</v>
      </c>
      <c r="U54">
        <f t="shared" si="61"/>
        <v>-174.14992603896002</v>
      </c>
      <c r="V54" s="2">
        <f t="shared" si="54"/>
        <v>-5.8500739610399561</v>
      </c>
      <c r="W54" s="1">
        <f t="shared" si="55"/>
        <v>-0.12004475807606818</v>
      </c>
      <c r="X54">
        <f t="shared" si="56"/>
        <v>1.3901075624999002</v>
      </c>
      <c r="Y54" s="40" t="b">
        <f t="shared" si="68"/>
        <v>1</v>
      </c>
      <c r="Z54" s="40" t="b">
        <f>(W54^2+X54^2)&lt;=control!$B$2^2</f>
        <v>1</v>
      </c>
      <c r="AA54">
        <f>ASIN(SQRT(W54^2+X54^2)/control!$B$2)/PI()*180</f>
        <v>44.238016366905882</v>
      </c>
      <c r="AB54">
        <f t="shared" si="62"/>
        <v>94.935615567823476</v>
      </c>
      <c r="AC54" s="2">
        <f t="shared" si="63"/>
        <v>-4.9356155678234597</v>
      </c>
      <c r="AD54" s="1">
        <f t="shared" si="57"/>
        <v>-0.12004475807606808</v>
      </c>
      <c r="AE54">
        <f t="shared" si="58"/>
        <v>-0.1723924375000998</v>
      </c>
      <c r="AF54" s="40" t="b">
        <f t="shared" si="69"/>
        <v>0</v>
      </c>
      <c r="AG54" s="40" t="b">
        <f>(AD54^2+AE54^2)&lt;=control!$B$2^2</f>
        <v>1</v>
      </c>
      <c r="AH54">
        <f>ASIN(SQRT(AD54^2+AE54^2)/control!$B$3)/PI()*180</f>
        <v>12.126523017514074</v>
      </c>
      <c r="AI54">
        <f t="shared" si="64"/>
        <v>-124.85126374945104</v>
      </c>
      <c r="AJ54" s="2">
        <f t="shared" si="65"/>
        <v>-22.586490021558642</v>
      </c>
    </row>
    <row r="55" spans="7:36" x14ac:dyDescent="0.3">
      <c r="G55" s="1">
        <v>-0.6</v>
      </c>
      <c r="H55">
        <f>G55*control!$B$9/2+control!$B$8</f>
        <v>-10.5</v>
      </c>
      <c r="I55" s="1">
        <f>control!$B$3*TAN('k3'!H55/180*PI())/SQRT(1+TAN('k3'!H55/180*PI())^2+TAN('k3'!$H$46/180*PI())^2)</f>
        <v>-0.1795568848144925</v>
      </c>
      <c r="J55">
        <f>control!$B$3*TAN('k3'!$H$46/180*PI())/SQRT(1+TAN('k3'!H55/180*PI())^2+TAN('k3'!$H$46/180*PI())^2)</f>
        <v>-0.17082597666591404</v>
      </c>
      <c r="K55" s="40" t="b">
        <f t="shared" si="66"/>
        <v>0</v>
      </c>
      <c r="L55" s="40" t="b">
        <f>(I55^2+J55^2)&lt;=control!$B$2^2</f>
        <v>1</v>
      </c>
      <c r="M55">
        <f>ASIN(SQRT(I55^2+J55^2)/control!$B$3)/PI()*180</f>
        <v>14.349435774653708</v>
      </c>
      <c r="N55">
        <f t="shared" si="59"/>
        <v>-136.42741196891291</v>
      </c>
      <c r="O55">
        <f t="shared" si="60"/>
        <v>46.427411968912921</v>
      </c>
      <c r="P55" s="1">
        <f t="shared" si="52"/>
        <v>-1.7420568848144926</v>
      </c>
      <c r="Q55">
        <f t="shared" si="53"/>
        <v>-0.17082597666591423</v>
      </c>
      <c r="R55" s="40" t="b">
        <f t="shared" si="67"/>
        <v>1</v>
      </c>
      <c r="S55" s="40" t="b">
        <f>(P55^2+Q55^2)&lt;=control!$B$2^2</f>
        <v>1</v>
      </c>
      <c r="T55">
        <f>ASIN(SQRT(P55^2+Q55^2)/control!$B$2)/PI()*180</f>
        <v>61.069390997229426</v>
      </c>
      <c r="U55">
        <f t="shared" si="61"/>
        <v>-174.39948510625297</v>
      </c>
      <c r="V55" s="2">
        <f t="shared" si="54"/>
        <v>-5.6005148937470306</v>
      </c>
      <c r="W55" s="1">
        <f t="shared" si="55"/>
        <v>-0.17955688481449261</v>
      </c>
      <c r="X55">
        <f t="shared" si="56"/>
        <v>1.3916740233340865</v>
      </c>
      <c r="Y55" s="40" t="b">
        <f t="shared" si="68"/>
        <v>1</v>
      </c>
      <c r="Z55" s="40" t="b">
        <f>(W55^2+X55^2)&lt;=control!$B$2^2</f>
        <v>1</v>
      </c>
      <c r="AA55">
        <f>ASIN(SQRT(W55^2+X55^2)/control!$B$2)/PI()*180</f>
        <v>44.555900704519409</v>
      </c>
      <c r="AB55">
        <f t="shared" si="62"/>
        <v>97.351814157953626</v>
      </c>
      <c r="AC55" s="2">
        <f t="shared" si="63"/>
        <v>-7.351814157953636</v>
      </c>
      <c r="AD55" s="1">
        <f t="shared" si="57"/>
        <v>-0.17955688481449253</v>
      </c>
      <c r="AE55">
        <f t="shared" si="58"/>
        <v>-0.17082597666591348</v>
      </c>
      <c r="AF55" s="40" t="b">
        <f t="shared" si="69"/>
        <v>0</v>
      </c>
      <c r="AG55" s="40" t="b">
        <f>(AD55^2+AE55^2)&lt;=control!$B$2^2</f>
        <v>1</v>
      </c>
      <c r="AH55">
        <f>ASIN(SQRT(AD55^2+AE55^2)/control!$B$3)/PI()*180</f>
        <v>14.349435774653688</v>
      </c>
      <c r="AI55">
        <f t="shared" si="64"/>
        <v>-136.42741196891302</v>
      </c>
      <c r="AJ55" s="2">
        <f t="shared" si="65"/>
        <v>-34.162638241020602</v>
      </c>
    </row>
    <row r="56" spans="7:36" x14ac:dyDescent="0.3">
      <c r="G56" s="1">
        <v>-0.8</v>
      </c>
      <c r="H56">
        <f>G56*control!$B$9/2+control!$B$8</f>
        <v>-14</v>
      </c>
      <c r="I56" s="1">
        <f>control!$B$3*TAN('k3'!H56/180*PI())/SQRT(1+TAN('k3'!H56/180*PI())^2+TAN('k3'!$H$46/180*PI())^2)</f>
        <v>-0.23845706356958102</v>
      </c>
      <c r="J56">
        <f>control!$B$3*TAN('k3'!$H$46/180*PI())/SQRT(1+TAN('k3'!H56/180*PI())^2+TAN('k3'!$H$46/180*PI())^2)</f>
        <v>-0.16863895578659316</v>
      </c>
      <c r="K56" s="40" t="b">
        <f t="shared" si="66"/>
        <v>0</v>
      </c>
      <c r="L56" s="40" t="b">
        <f>(I56^2+J56^2)&lt;=control!$B$2^2</f>
        <v>1</v>
      </c>
      <c r="M56">
        <f>ASIN(SQRT(I56^2+J56^2)/control!$B$3)/PI()*180</f>
        <v>16.9815127090834</v>
      </c>
      <c r="N56">
        <f t="shared" si="59"/>
        <v>-144.73171014801039</v>
      </c>
      <c r="O56">
        <f t="shared" si="60"/>
        <v>54.731710148010386</v>
      </c>
      <c r="P56" s="1">
        <f t="shared" si="52"/>
        <v>-1.8009570635695811</v>
      </c>
      <c r="Q56">
        <f t="shared" si="53"/>
        <v>-0.16863895578659335</v>
      </c>
      <c r="R56" s="40" t="b">
        <f t="shared" si="67"/>
        <v>1</v>
      </c>
      <c r="S56" s="40" t="b">
        <f>(P56^2+Q56^2)&lt;=control!$B$2^2</f>
        <v>1</v>
      </c>
      <c r="T56">
        <f>ASIN(SQRT(P56^2+Q56^2)/control!$B$2)/PI()*180</f>
        <v>64.744969724567753</v>
      </c>
      <c r="U56">
        <f t="shared" si="61"/>
        <v>-174.65050665081768</v>
      </c>
      <c r="V56" s="2">
        <f t="shared" si="54"/>
        <v>-5.3494933491823327</v>
      </c>
      <c r="W56" s="1">
        <f t="shared" si="55"/>
        <v>-0.23845706356958107</v>
      </c>
      <c r="X56">
        <f t="shared" si="56"/>
        <v>1.3938610442134074</v>
      </c>
      <c r="Y56" s="40" t="b">
        <f t="shared" si="68"/>
        <v>1</v>
      </c>
      <c r="Z56" s="40" t="b">
        <f>(W56^2+X56^2)&lt;=control!$B$2^2</f>
        <v>1</v>
      </c>
      <c r="AA56">
        <f>ASIN(SQRT(W56^2+X56^2)/control!$B$2)/PI()*180</f>
        <v>44.995851524020985</v>
      </c>
      <c r="AB56">
        <f t="shared" si="62"/>
        <v>99.707988861193726</v>
      </c>
      <c r="AC56" s="2">
        <f t="shared" si="63"/>
        <v>-9.7079888611937353</v>
      </c>
      <c r="AD56" s="1">
        <f t="shared" si="57"/>
        <v>-0.23845706356958099</v>
      </c>
      <c r="AE56">
        <f t="shared" si="58"/>
        <v>-0.1686389557865926</v>
      </c>
      <c r="AF56" s="40" t="b">
        <f t="shared" si="69"/>
        <v>0</v>
      </c>
      <c r="AG56" s="40" t="b">
        <f>(AD56^2+AE56^2)&lt;=control!$B$2^2</f>
        <v>1</v>
      </c>
      <c r="AH56">
        <f>ASIN(SQRT(AD56^2+AE56^2)/control!$B$3)/PI()*180</f>
        <v>16.981512709083376</v>
      </c>
      <c r="AI56">
        <f t="shared" si="64"/>
        <v>-144.73171014801051</v>
      </c>
      <c r="AJ56" s="2">
        <f t="shared" si="65"/>
        <v>-42.466936420118088</v>
      </c>
    </row>
    <row r="57" spans="7:36" x14ac:dyDescent="0.3">
      <c r="G57" s="1">
        <v>-1</v>
      </c>
      <c r="H57">
        <f>G57*control!$B$9/2+control!$B$8</f>
        <v>-17.5</v>
      </c>
      <c r="I57" s="7">
        <f>control!$B$3*TAN('k3'!H57/180*PI())/SQRT(1+TAN('k3'!H57/180*PI())^2+TAN('k3'!$H$46/180*PI())^2)</f>
        <v>-0.29654195678697232</v>
      </c>
      <c r="J57" s="6">
        <f>control!$B$3*TAN('k3'!$H$46/180*PI())/SQRT(1+TAN('k3'!H57/180*PI())^2+TAN('k3'!$H$46/180*PI())^2)</f>
        <v>-0.16583745240358658</v>
      </c>
      <c r="K57" s="6" t="b">
        <f t="shared" si="66"/>
        <v>0</v>
      </c>
      <c r="L57" s="6" t="b">
        <f>(I57^2+J57^2)&lt;=control!$B$2^2</f>
        <v>1</v>
      </c>
      <c r="M57" s="6">
        <f>ASIN(SQRT(I57^2+J57^2)/control!$B$3)/PI()*180</f>
        <v>19.862462001023477</v>
      </c>
      <c r="N57" s="6">
        <f t="shared" si="59"/>
        <v>-150.78443244019712</v>
      </c>
      <c r="O57" s="6">
        <f t="shared" si="60"/>
        <v>60.784432440197115</v>
      </c>
      <c r="P57" s="7">
        <f t="shared" si="52"/>
        <v>-1.8590419567869723</v>
      </c>
      <c r="Q57" s="6">
        <f t="shared" si="53"/>
        <v>-0.16583745240358677</v>
      </c>
      <c r="R57" s="6" t="b">
        <f t="shared" si="67"/>
        <v>1</v>
      </c>
      <c r="S57" s="6" t="b">
        <f>(P57^2+Q57^2)&lt;=control!$B$2^2</f>
        <v>1</v>
      </c>
      <c r="T57" s="6">
        <f>ASIN(SQRT(P57^2+Q57^2)/control!$B$2)/PI()*180</f>
        <v>68.941185611324215</v>
      </c>
      <c r="U57" s="6">
        <f t="shared" si="61"/>
        <v>-174.90237342231381</v>
      </c>
      <c r="V57" s="8">
        <f t="shared" si="54"/>
        <v>-5.097626577686178</v>
      </c>
      <c r="W57" s="7">
        <f t="shared" si="55"/>
        <v>-0.29654195678697226</v>
      </c>
      <c r="X57" s="6">
        <f t="shared" si="56"/>
        <v>1.3966625475964138</v>
      </c>
      <c r="Y57" s="6" t="b">
        <f t="shared" si="68"/>
        <v>1</v>
      </c>
      <c r="Z57" s="6" t="b">
        <f>(W57^2+X57^2)&lt;=control!$B$2^2</f>
        <v>1</v>
      </c>
      <c r="AA57" s="6">
        <f>ASIN(SQRT(W57^2+X57^2)/control!$B$2)/PI()*180</f>
        <v>45.552987370975259</v>
      </c>
      <c r="AB57" s="6">
        <f t="shared" si="62"/>
        <v>101.98713196626649</v>
      </c>
      <c r="AC57" s="8">
        <f t="shared" si="63"/>
        <v>-11.987131966266494</v>
      </c>
      <c r="AD57" s="7">
        <f t="shared" si="57"/>
        <v>-0.29654195678697215</v>
      </c>
      <c r="AE57" s="6">
        <f t="shared" si="58"/>
        <v>-0.16583745240358616</v>
      </c>
      <c r="AF57" s="6" t="b">
        <f t="shared" si="69"/>
        <v>0</v>
      </c>
      <c r="AG57" s="6" t="b">
        <f>(AD57^2+AE57^2)&lt;=control!$B$2^2</f>
        <v>1</v>
      </c>
      <c r="AH57" s="6">
        <f>ASIN(SQRT(AD57^2+AE57^2)/control!$B$3)/PI()*180</f>
        <v>19.862462001023463</v>
      </c>
      <c r="AI57" s="6">
        <f t="shared" si="64"/>
        <v>-150.78443244019718</v>
      </c>
      <c r="AJ57" s="8">
        <f t="shared" si="65"/>
        <v>-48.519658712304761</v>
      </c>
    </row>
    <row r="58" spans="7:36" x14ac:dyDescent="0.3">
      <c r="I58" s="4">
        <f>AVERAGE(I47:I57,I33:I43,I19:I29,I5:I15)</f>
        <v>0</v>
      </c>
      <c r="J58" s="3">
        <f>AVERAGE(J47:J57,J33:J43,J19:J29,J5:J15)</f>
        <v>-5.0464682937507117E-18</v>
      </c>
      <c r="K58" s="40"/>
      <c r="L58" s="40"/>
      <c r="O58" s="2"/>
      <c r="P58" s="4">
        <f>AVERAGE(P47:P57,P33:P43,P19:P29,P5:P15)</f>
        <v>-1.5625</v>
      </c>
      <c r="Q58" s="3">
        <f>AVERAGE(Q47:Q57,Q33:Q43,Q19:Q29,Q5:Q15)</f>
        <v>-1.8293447564846329E-16</v>
      </c>
      <c r="R58" s="40"/>
      <c r="S58" s="40"/>
      <c r="V58" s="2"/>
      <c r="W58" s="4">
        <f>AVERAGE(W47:W57,W33:W43,W19:W29,W5:W15)</f>
        <v>-1.0092936587501423E-17</v>
      </c>
      <c r="X58" s="3">
        <f>AVERAGE(X47:X57,X33:X43,X19:X29,X5:X15)</f>
        <v>1.5625000000000007</v>
      </c>
      <c r="Y58" s="40"/>
      <c r="Z58" s="40"/>
      <c r="AC58" s="2"/>
      <c r="AD58" s="4">
        <f>AVERAGE(AD47:AD57,AD33:AD43,AD19:AD29,AD5:AD15)</f>
        <v>1.0092936587501423E-16</v>
      </c>
      <c r="AE58" s="3">
        <f>AVERAGE(AE47:AE57,AE33:AE43,AE19:AE29,AE5:AE15)</f>
        <v>4.6427508302506544E-16</v>
      </c>
      <c r="AF58" s="40"/>
      <c r="AG58" s="40"/>
    </row>
    <row r="59" spans="7:36" x14ac:dyDescent="0.3">
      <c r="J59" s="40"/>
      <c r="K59" s="40" t="s">
        <v>116</v>
      </c>
      <c r="L59" s="40" t="s">
        <v>117</v>
      </c>
      <c r="M59" s="40" t="s">
        <v>118</v>
      </c>
      <c r="N59" s="42" t="s">
        <v>119</v>
      </c>
      <c r="O59" s="2" t="s">
        <v>51</v>
      </c>
      <c r="P59" s="40"/>
      <c r="Q59" s="40"/>
      <c r="R59" s="40" t="s">
        <v>116</v>
      </c>
      <c r="S59" s="40" t="s">
        <v>117</v>
      </c>
      <c r="T59" s="40" t="s">
        <v>118</v>
      </c>
      <c r="U59" s="42" t="s">
        <v>119</v>
      </c>
      <c r="V59" s="2" t="s">
        <v>51</v>
      </c>
      <c r="X59" s="40"/>
      <c r="Y59" s="40" t="s">
        <v>116</v>
      </c>
      <c r="Z59" s="40" t="s">
        <v>117</v>
      </c>
      <c r="AA59" s="40" t="s">
        <v>118</v>
      </c>
      <c r="AB59" s="42" t="s">
        <v>119</v>
      </c>
      <c r="AC59" s="2" t="s">
        <v>51</v>
      </c>
      <c r="AE59" s="40"/>
      <c r="AF59" s="40" t="s">
        <v>116</v>
      </c>
      <c r="AG59" s="40" t="s">
        <v>117</v>
      </c>
      <c r="AH59" s="40" t="s">
        <v>118</v>
      </c>
      <c r="AI59" s="42" t="s">
        <v>119</v>
      </c>
      <c r="AJ59" s="2" t="s">
        <v>51</v>
      </c>
    </row>
    <row r="60" spans="7:36" x14ac:dyDescent="0.3">
      <c r="I60" s="1" t="s">
        <v>31</v>
      </c>
      <c r="J60" s="40">
        <f>4+MATCH(O60, O5:O57, 0)</f>
        <v>38</v>
      </c>
      <c r="K60" s="1">
        <f ca="1">INDIRECT("I"&amp;'k2'!J60)</f>
        <v>0.30070579950427312</v>
      </c>
      <c r="L60" s="40" cm="1">
        <f t="array" aca="1" ref="L60" ca="1">INDIRECT("J"&amp;'k2'!J60)</f>
        <v>0</v>
      </c>
      <c r="M60" s="40">
        <f>MIN(M5:M57)</f>
        <v>10.000000000000002</v>
      </c>
      <c r="N60" s="40">
        <f ca="1">ATAN2(K60,L60)/PI()*180</f>
        <v>0</v>
      </c>
      <c r="O60" s="2">
        <f>MIN(O47:O57,O33:O43,O19:O29,O5:O15)</f>
        <v>-90</v>
      </c>
      <c r="P60" s="40" t="s">
        <v>31</v>
      </c>
      <c r="Q60" s="40">
        <f>4+MATCH(V60, V5:V57, 0)</f>
        <v>43</v>
      </c>
      <c r="R60" s="1">
        <f ca="1">INDIRECT("P"&amp;'k2'!Q60)</f>
        <v>-1.2659580432130277</v>
      </c>
      <c r="S60" s="40">
        <f ca="1">INDIRECT("Q"&amp;'k2'!Q60)</f>
        <v>-0.16583745240358677</v>
      </c>
      <c r="T60" s="40">
        <f>MIN(T5:T57)</f>
        <v>39.116340020321068</v>
      </c>
      <c r="U60" s="40">
        <f ca="1">ATAN2(R60,S60)/PI()*180</f>
        <v>-172.5368872850365</v>
      </c>
      <c r="V60" s="2">
        <f>MIN(V47:V57,V33:V43,V19:V29,V5:V15)</f>
        <v>-7.4631127149634837</v>
      </c>
      <c r="W60" s="40" t="s">
        <v>31</v>
      </c>
      <c r="X60" s="40">
        <f>4+MATCH(AC60, AC5:AC57, 0)</f>
        <v>5</v>
      </c>
      <c r="Y60" s="40">
        <f ca="1">INDIRECT("W"&amp;'k2'!X60)</f>
        <v>-0.29654195678697226</v>
      </c>
      <c r="Z60" s="40">
        <f ca="1">INDIRECT("X"&amp;'k2'!X60)</f>
        <v>1.3966625475964138</v>
      </c>
      <c r="AA60" s="40">
        <f>MIN(AA5:AA57)</f>
        <v>43.981487387421403</v>
      </c>
      <c r="AB60" s="40">
        <f ca="1">ATAN2(Y60,Z60)/PI()*180</f>
        <v>101.98713196626649</v>
      </c>
      <c r="AC60" s="2">
        <f>MIN(AC47:AC57,AC33:AC43,AC19:AC29,AC5:AC15)</f>
        <v>-11.987131966266494</v>
      </c>
      <c r="AD60" s="40" t="s">
        <v>31</v>
      </c>
      <c r="AE60" s="40">
        <f>4+MATCH(AJ60, AJ5:AJ57, 0)</f>
        <v>12</v>
      </c>
      <c r="AF60" s="40">
        <f ca="1">INDIRECT("AD"&amp;'k2'!AE60)</f>
        <v>-0.30003931119635718</v>
      </c>
      <c r="AG60" s="40">
        <f ca="1">INDIRECT("AE"&amp;'k2'!AE60)</f>
        <v>6.6542572409756362E-2</v>
      </c>
      <c r="AH60" s="40">
        <f>MIN(AH5:AH57)</f>
        <v>9.9999999999999734</v>
      </c>
      <c r="AI60" s="40">
        <f ca="1">ATAN2(AF60,AG60)/PI()*180</f>
        <v>167.49536624454001</v>
      </c>
      <c r="AJ60" s="2">
        <f>MIN(AJ47:AJ57,AJ33:AJ43,AJ19:AJ29,AJ5:AJ15)</f>
        <v>-89.760139972435766</v>
      </c>
    </row>
    <row r="61" spans="7:36" x14ac:dyDescent="0.3">
      <c r="I61" s="1" t="s">
        <v>30</v>
      </c>
      <c r="J61" s="40">
        <f>4+MATCH(O61, O5:O57, 0)</f>
        <v>10</v>
      </c>
      <c r="K61" s="1" cm="1">
        <f t="array" aca="1" ref="K61" ca="1">INDIRECT("I"&amp;'k2'!J61)</f>
        <v>-0.30070579950427312</v>
      </c>
      <c r="L61" s="40" cm="1">
        <f t="array" aca="1" ref="L61" ca="1">INDIRECT("J"&amp;'k2'!J61)</f>
        <v>0</v>
      </c>
      <c r="M61" s="40">
        <f>MAX(M5:M57)</f>
        <v>19.862462001023477</v>
      </c>
      <c r="N61" s="40">
        <f ca="1">ATAN2(K61,L61)/PI()*180</f>
        <v>180</v>
      </c>
      <c r="O61" s="2">
        <f>MAX(O47:O57,O33:O43,O19:O29,O5:O15)</f>
        <v>90</v>
      </c>
      <c r="P61" s="40" t="s">
        <v>30</v>
      </c>
      <c r="Q61" s="40">
        <f>4+MATCH(V61, V5:V57, 0)</f>
        <v>29</v>
      </c>
      <c r="R61" s="1">
        <f ca="1">INDIRECT("P"&amp;'k2'!Q61)</f>
        <v>-1.2659580432130277</v>
      </c>
      <c r="S61" s="40">
        <f ca="1">INDIRECT("Q"&amp;'k2'!Q61)</f>
        <v>0.16583745240358638</v>
      </c>
      <c r="T61" s="40">
        <f>MAX(T5:T57)</f>
        <v>68.941185611324215</v>
      </c>
      <c r="U61" s="40">
        <f ca="1">ATAN2(R61,S61)/PI()*180</f>
        <v>172.53688728503656</v>
      </c>
      <c r="V61" s="2">
        <f>MAX(V47:V57,V33:V43,V19:V29,V5:V15)</f>
        <v>7.4631127149634784</v>
      </c>
      <c r="W61" s="40" t="s">
        <v>30</v>
      </c>
      <c r="X61" s="40">
        <f>4+MATCH(AC61, AC5:AC57, 0)</f>
        <v>43</v>
      </c>
      <c r="Y61" s="40">
        <f ca="1">INDIRECT("W"&amp;'k2'!X61)</f>
        <v>0.29654195678697226</v>
      </c>
      <c r="Z61" s="40">
        <f ca="1">INDIRECT("X"&amp;'k2'!X61)</f>
        <v>1.3966625475964138</v>
      </c>
      <c r="AA61" s="40">
        <f>MAX(AA5:AA57)</f>
        <v>61.258293329890343</v>
      </c>
      <c r="AB61" s="40">
        <f ca="1">ATAN2(Y61,Z61)/PI()*180</f>
        <v>78.012868033733511</v>
      </c>
      <c r="AC61" s="2">
        <f>MAX(AC47:AC57,AC33:AC43,AC19:AC29,AC5:AC15)</f>
        <v>11.987131966266494</v>
      </c>
      <c r="AD61" s="40" t="s">
        <v>30</v>
      </c>
      <c r="AE61" s="40">
        <f>4+MATCH(AJ61, AJ5:AJ57, 0)</f>
        <v>40</v>
      </c>
      <c r="AF61" s="40">
        <f ca="1">INDIRECT("AD"&amp;'k2'!AE61)</f>
        <v>0.30003931119635741</v>
      </c>
      <c r="AG61" s="40">
        <f ca="1">INDIRECT("AE"&amp;'k2'!AE61)</f>
        <v>-6.6542572409755252E-2</v>
      </c>
      <c r="AH61" s="40">
        <f>MAX(AH5:AH57)</f>
        <v>19.862462001023498</v>
      </c>
      <c r="AI61" s="40">
        <f ca="1">ATAN2(AF61,AG61)/PI()*180</f>
        <v>-12.50463375545978</v>
      </c>
      <c r="AJ61" s="2">
        <f>MAX(AJ47:AJ57,AJ33:AJ43,AJ19:AJ29,AJ5:AJ15)</f>
        <v>89.760139972434246</v>
      </c>
    </row>
    <row r="62" spans="7:36" x14ac:dyDescent="0.3">
      <c r="O62" s="2"/>
      <c r="V62" s="2"/>
      <c r="AC62" s="2"/>
    </row>
    <row r="63" spans="7:36" x14ac:dyDescent="0.3">
      <c r="O63" s="2"/>
      <c r="V63" s="2"/>
      <c r="AC63" s="2"/>
    </row>
    <row r="64" spans="7:36" x14ac:dyDescent="0.3">
      <c r="G64" s="37" t="s">
        <v>32</v>
      </c>
      <c r="H64" s="38"/>
      <c r="I64" s="4"/>
      <c r="J64" s="3"/>
      <c r="K64" s="3"/>
      <c r="L64" s="3"/>
      <c r="M64" s="3"/>
      <c r="N64" s="3"/>
      <c r="O64" s="5"/>
      <c r="P64" s="3"/>
      <c r="Q64" s="3"/>
      <c r="R64" s="3"/>
      <c r="S64" s="3"/>
      <c r="T64" s="3"/>
      <c r="U64" s="3"/>
      <c r="V64" s="5"/>
      <c r="W64" s="3"/>
      <c r="X64" s="3"/>
      <c r="Y64" s="3"/>
      <c r="Z64" s="3"/>
      <c r="AA64" s="3"/>
      <c r="AB64" s="3"/>
      <c r="AC64" s="5"/>
      <c r="AD64" s="3"/>
      <c r="AE64" s="3"/>
      <c r="AF64" s="3"/>
      <c r="AG64" s="3"/>
      <c r="AH64" s="3"/>
      <c r="AI64" s="3"/>
      <c r="AJ64" s="5"/>
    </row>
    <row r="65" spans="7:36" x14ac:dyDescent="0.3">
      <c r="G65" s="1" t="s">
        <v>43</v>
      </c>
      <c r="H65" s="2" t="s">
        <v>44</v>
      </c>
      <c r="I65" t="s">
        <v>33</v>
      </c>
      <c r="J65" t="s">
        <v>34</v>
      </c>
      <c r="K65" t="s">
        <v>115</v>
      </c>
      <c r="L65" t="s">
        <v>114</v>
      </c>
      <c r="M65" t="s">
        <v>12</v>
      </c>
      <c r="N65" t="s">
        <v>20</v>
      </c>
      <c r="O65" s="2" t="s">
        <v>20</v>
      </c>
      <c r="P65" t="s">
        <v>33</v>
      </c>
      <c r="Q65" t="s">
        <v>34</v>
      </c>
      <c r="R65" t="s">
        <v>115</v>
      </c>
      <c r="S65" t="s">
        <v>114</v>
      </c>
      <c r="T65" t="s">
        <v>12</v>
      </c>
      <c r="U65" t="s">
        <v>20</v>
      </c>
      <c r="V65" s="2" t="s">
        <v>20</v>
      </c>
      <c r="W65" t="s">
        <v>33</v>
      </c>
      <c r="X65" t="s">
        <v>34</v>
      </c>
      <c r="Y65" t="s">
        <v>115</v>
      </c>
      <c r="Z65" t="s">
        <v>114</v>
      </c>
      <c r="AA65" t="s">
        <v>12</v>
      </c>
      <c r="AB65" t="s">
        <v>20</v>
      </c>
      <c r="AC65" s="2" t="s">
        <v>20</v>
      </c>
      <c r="AD65" t="s">
        <v>33</v>
      </c>
      <c r="AE65" t="s">
        <v>34</v>
      </c>
      <c r="AF65" t="s">
        <v>115</v>
      </c>
      <c r="AG65" t="s">
        <v>114</v>
      </c>
      <c r="AH65" t="s">
        <v>12</v>
      </c>
      <c r="AI65" t="s">
        <v>20</v>
      </c>
      <c r="AJ65" s="2" t="s">
        <v>20</v>
      </c>
    </row>
    <row r="66" spans="7:36" x14ac:dyDescent="0.3">
      <c r="G66" s="1">
        <v>0</v>
      </c>
      <c r="H66" s="11">
        <v>1.0000000000000001E-9</v>
      </c>
      <c r="I66" s="1">
        <f>control!$B$3*TAN('k1'!G66/180*PI())/SQRT(1+TAN('k1'!G66/180*PI())^2+TAN('k1'!$H$66/180*PI())^2)</f>
        <v>0</v>
      </c>
      <c r="J66">
        <f>control!$B$3*TAN('k1'!$H$66/180*PI())/SQRT(1+TAN('k1'!G66/180*PI())^2+TAN('k1'!$H$66/180*PI())^2)</f>
        <v>1.7453292519943298E-11</v>
      </c>
      <c r="K66" s="40" t="b">
        <f t="shared" ref="K66" si="70">(I66^2+J66^2)&gt;=1</f>
        <v>0</v>
      </c>
      <c r="L66" s="40" t="b">
        <f>(I66^2+J66^2)&lt;=control!$B$2^2</f>
        <v>1</v>
      </c>
      <c r="M66">
        <f>ASIN(SQRT(I66^2+J66^2)/control!$B$3)/PI()*180</f>
        <v>1.0000000000000001E-9</v>
      </c>
      <c r="N66">
        <f>ATAN2(I66,J66)/PI()*180</f>
        <v>90</v>
      </c>
      <c r="O66" s="2">
        <f t="shared" ref="O66" si="71">IF(N66&lt;0,N66+360,N66)</f>
        <v>90</v>
      </c>
      <c r="P66">
        <f>I66+$P$4</f>
        <v>-1.5625</v>
      </c>
      <c r="Q66">
        <f>J66+$Q$4</f>
        <v>1.7453101090497219E-11</v>
      </c>
      <c r="R66" s="40" t="b">
        <f t="shared" ref="R66" si="72">(P66^2+Q66^2)&gt;=1</f>
        <v>1</v>
      </c>
      <c r="S66" s="40" t="b">
        <f>(P66^2+Q66^2)&lt;=control!$B$2^2</f>
        <v>1</v>
      </c>
      <c r="T66">
        <f>ASIN(SQRT(P66^2+Q66^2)/control!$B$2)/PI()*180</f>
        <v>51.375167126947041</v>
      </c>
      <c r="U66">
        <f>ATAN2(P66,Q66)/PI()*180</f>
        <v>179.99999999936</v>
      </c>
      <c r="V66" s="2">
        <f t="shared" ref="V66" si="73">IF(U66&lt;0,U66+360,U66)</f>
        <v>179.99999999936</v>
      </c>
      <c r="W66">
        <f>P66+$W$4</f>
        <v>0</v>
      </c>
      <c r="X66">
        <f>Q66+$X$4</f>
        <v>1.5625000000174538</v>
      </c>
      <c r="Y66" s="40" t="b">
        <f t="shared" ref="Y66" si="74">(W66^2+X66^2)&gt;=1</f>
        <v>1</v>
      </c>
      <c r="Z66" s="40" t="b">
        <f>(W66^2+X66^2)&lt;=control!$B$2^2</f>
        <v>1</v>
      </c>
      <c r="AA66">
        <f>ASIN(SQRT(W66^2+X66^2)/control!$B$2)/PI()*180</f>
        <v>51.375167127748071</v>
      </c>
      <c r="AB66">
        <f>ATAN2(W66,X66)/PI()*180</f>
        <v>90</v>
      </c>
      <c r="AC66" s="2">
        <f t="shared" ref="AC66" si="75">IF(AB66&lt;0,AB66+360,AB66)</f>
        <v>90</v>
      </c>
      <c r="AD66">
        <f>W66+$AD$4</f>
        <v>9.5714723039735938E-17</v>
      </c>
      <c r="AE66">
        <f>X66+$AE$4</f>
        <v>1.7453816170132086E-11</v>
      </c>
      <c r="AF66" s="40" t="b">
        <f t="shared" ref="AF66" si="76">(AD66^2+AE66^2)&gt;=1</f>
        <v>0</v>
      </c>
      <c r="AG66" s="40" t="b">
        <f>(AD66^2+AE66^2)&lt;=control!$B$2^2</f>
        <v>1</v>
      </c>
      <c r="AH66">
        <f>ASIN(SQRT(AD66^2+AE66^2)/control!$B$3)/PI()*180</f>
        <v>1.0000300029607957E-9</v>
      </c>
      <c r="AI66">
        <f>ATAN2(AD66,AE66)/PI()*180</f>
        <v>89.99968579652645</v>
      </c>
      <c r="AJ66" s="2">
        <f t="shared" ref="AJ66" si="77">IF(AI66&lt;0,AI66+360,AI66)</f>
        <v>89.99968579652645</v>
      </c>
    </row>
    <row r="67" spans="7:36" x14ac:dyDescent="0.3">
      <c r="O67" s="2"/>
      <c r="AC67" s="2"/>
    </row>
    <row r="68" spans="7:36" x14ac:dyDescent="0.3">
      <c r="O68" s="2"/>
      <c r="AC68" s="2"/>
    </row>
    <row r="69" spans="7:36" x14ac:dyDescent="0.3">
      <c r="O69" s="2"/>
      <c r="V69" s="2"/>
      <c r="AC69" s="2"/>
    </row>
    <row r="70" spans="7:36" x14ac:dyDescent="0.3">
      <c r="O70" s="2"/>
      <c r="V70" s="2"/>
      <c r="AC70" s="2"/>
    </row>
    <row r="71" spans="7:36" x14ac:dyDescent="0.3">
      <c r="O71" s="2"/>
      <c r="V71" s="2"/>
      <c r="AC71" s="2"/>
    </row>
    <row r="84" spans="15:29" x14ac:dyDescent="0.3">
      <c r="O84" s="2"/>
      <c r="V84" s="2"/>
      <c r="AC84" s="2"/>
    </row>
  </sheetData>
  <mergeCells count="7">
    <mergeCell ref="W1:AC1"/>
    <mergeCell ref="AD1:AJ1"/>
    <mergeCell ref="G64:H64"/>
    <mergeCell ref="A1:C1"/>
    <mergeCell ref="D1:F1"/>
    <mergeCell ref="I1:O1"/>
    <mergeCell ref="P1:V1"/>
  </mergeCells>
  <phoneticPr fontId="1" type="noConversion"/>
  <conditionalFormatting sqref="K5:L57 K66:L66">
    <cfRule type="containsText" dxfId="12" priority="7" operator="containsText" text="FALSE">
      <formula>NOT(ISERROR(SEARCH("FALSE",K5)))</formula>
    </cfRule>
    <cfRule type="containsText" dxfId="11" priority="8" operator="containsText" text="TRUE">
      <formula>NOT(ISERROR(SEARCH("TRUE",K5)))</formula>
    </cfRule>
  </conditionalFormatting>
  <conditionalFormatting sqref="R5:S57 R66:S66">
    <cfRule type="containsText" dxfId="10" priority="5" operator="containsText" text="FALSE">
      <formula>NOT(ISERROR(SEARCH("FALSE",R5)))</formula>
    </cfRule>
    <cfRule type="containsText" dxfId="9" priority="6" operator="containsText" text="TRUE">
      <formula>NOT(ISERROR(SEARCH("TRUE",R5)))</formula>
    </cfRule>
  </conditionalFormatting>
  <conditionalFormatting sqref="Y5:Z57 Y66:Z66">
    <cfRule type="containsText" dxfId="8" priority="3" operator="containsText" text="FALSE">
      <formula>NOT(ISERROR(SEARCH("FALSE",Y5)))</formula>
    </cfRule>
    <cfRule type="containsText" dxfId="7" priority="4" operator="containsText" text="TRUE">
      <formula>NOT(ISERROR(SEARCH("TRUE",Y5)))</formula>
    </cfRule>
  </conditionalFormatting>
  <conditionalFormatting sqref="AF5:AG57 AF66:AG66">
    <cfRule type="containsText" dxfId="6" priority="1" operator="containsText" text="FALSE">
      <formula>NOT(ISERROR(SEARCH("FALSE",AF5)))</formula>
    </cfRule>
    <cfRule type="containsText" dxfId="5" priority="2" operator="containsText" text="TRUE">
      <formula>NOT(ISERROR(SEARCH("TRUE",AF5)))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56FC-E3B4-4F64-8538-B5FB8C37B510}">
  <dimension ref="A1:AH363"/>
  <sheetViews>
    <sheetView topLeftCell="A10" zoomScale="85" zoomScaleNormal="85" workbookViewId="0">
      <selection activeCell="P52" sqref="P52"/>
    </sheetView>
  </sheetViews>
  <sheetFormatPr defaultRowHeight="16.2" x14ac:dyDescent="0.3"/>
  <cols>
    <col min="3" max="3" width="9" style="2"/>
    <col min="4" max="4" width="9" style="1"/>
    <col min="5" max="5" width="9" style="2"/>
    <col min="7" max="7" width="9" style="2"/>
    <col min="8" max="32" width="9" customWidth="1"/>
    <col min="33" max="33" width="9" style="1"/>
    <col min="34" max="34" width="9" style="2"/>
  </cols>
  <sheetData>
    <row r="1" spans="1:34" x14ac:dyDescent="0.3">
      <c r="A1" s="31" t="s">
        <v>40</v>
      </c>
      <c r="B1" s="31"/>
      <c r="C1" s="36"/>
      <c r="D1" s="35" t="s">
        <v>39</v>
      </c>
      <c r="E1" s="31"/>
      <c r="F1" s="35" t="s">
        <v>42</v>
      </c>
      <c r="G1" s="36"/>
      <c r="H1" t="s">
        <v>51</v>
      </c>
      <c r="P1">
        <f ca="1">((M$15-Q$15)*($I20-Q$15) + (N$15-R$15)*($J20-R$15)) /(SQRT((M$15-Q$15)^2 + (N$15-R$15)^2) * SQRT(($I20-Q$15)^2 + ($J20-R$15)^2))</f>
        <v>1</v>
      </c>
      <c r="AG1" s="35" t="s">
        <v>41</v>
      </c>
      <c r="AH1" s="36"/>
    </row>
    <row r="2" spans="1:34" x14ac:dyDescent="0.3">
      <c r="A2" s="10"/>
      <c r="B2" s="10" t="s">
        <v>8</v>
      </c>
      <c r="C2" s="9" t="s">
        <v>9</v>
      </c>
      <c r="D2" s="1" t="s">
        <v>8</v>
      </c>
      <c r="E2" s="9" t="s">
        <v>9</v>
      </c>
      <c r="F2" t="s">
        <v>47</v>
      </c>
      <c r="G2" s="2" t="s">
        <v>48</v>
      </c>
      <c r="H2">
        <f ca="1">INDIRECT("'k" &amp; control!$B$17 &amp; "'!R60")</f>
        <v>-1.0159580432130277</v>
      </c>
      <c r="I2">
        <f ca="1">INDIRECT("'k" &amp; control!$B$17 &amp; "'!S60")</f>
        <v>-0.16583745240358674</v>
      </c>
      <c r="P2">
        <f ca="1">((M$15-Q$15)*($I20-Q$15) + (N$15-R$15)*($J20-R$15))</f>
        <v>1136.0142990455627</v>
      </c>
      <c r="AG2" s="1">
        <f ca="1">IF(K49,Q15,#NUM!)</f>
        <v>21.692930342495533</v>
      </c>
      <c r="AH2" s="2">
        <f ca="1">IF($K$49,R15,#NUM!)</f>
        <v>-26.014779923203928</v>
      </c>
    </row>
    <row r="3" spans="1:34" x14ac:dyDescent="0.3">
      <c r="A3">
        <v>0</v>
      </c>
      <c r="B3">
        <f>control!$E$19*COS($A3/180*PI())+control!$B$19</f>
        <v>42</v>
      </c>
      <c r="C3" s="2">
        <f>control!$E$19*SIN($A3/180*PI())+control!$C$19</f>
        <v>-21</v>
      </c>
      <c r="D3" s="1">
        <f>control!$B$20+control!$E$20/2</f>
        <v>8</v>
      </c>
      <c r="E3" s="2">
        <f>control!$C$20+control!$F$20/2</f>
        <v>6</v>
      </c>
      <c r="F3">
        <f>control!D20*TAN((control!$B$9/2+control!$B$8)/180*PI())</f>
        <v>4.7294818331847521</v>
      </c>
      <c r="G3" s="2">
        <f>control!D20*TAN((control!$B$9/2-control!$B$8)/180*PI())</f>
        <v>4.7294818331847521</v>
      </c>
      <c r="H3">
        <f ca="1">INDIRECT("'k" &amp; control!$B$17 &amp; "'!R61")</f>
        <v>-1.0159580432130277</v>
      </c>
      <c r="I3">
        <f ca="1">INDIRECT("'k" &amp; control!$B$17 &amp; "'!S61")</f>
        <v>0.16583745240358641</v>
      </c>
      <c r="AG3" s="1">
        <f ca="1">IF($K$49,U15,#NUM!)</f>
        <v>18.984835010126233</v>
      </c>
      <c r="AH3" s="2">
        <f ca="1">IF($K$49,V15,#NUM!)</f>
        <v>-15.543170689238844</v>
      </c>
    </row>
    <row r="4" spans="1:34" x14ac:dyDescent="0.3">
      <c r="A4">
        <v>1</v>
      </c>
      <c r="B4">
        <f>control!$E$19*COS($A4/180*PI())+control!$B$19</f>
        <v>41.99969539031278</v>
      </c>
      <c r="C4" s="2">
        <f>control!$E$19*SIN($A4/180*PI())+control!$C$19</f>
        <v>-20.965095187125431</v>
      </c>
      <c r="D4" s="1">
        <f>control!$B$20+control!$E$20/2</f>
        <v>8</v>
      </c>
      <c r="E4" s="2">
        <f>control!$C$20-control!$F$20/2</f>
        <v>-6</v>
      </c>
      <c r="F4" t="s">
        <v>49</v>
      </c>
      <c r="G4" s="2" t="s">
        <v>50</v>
      </c>
      <c r="H4">
        <f ca="1">INDIRECT("'k" &amp; control!$B$17 &amp; "'!Y60")</f>
        <v>-0.29654195678697226</v>
      </c>
      <c r="I4">
        <f ca="1">INDIRECT("'k" &amp; control!$B$17 &amp; "'!Z60")</f>
        <v>1.1466625475964136</v>
      </c>
      <c r="AG4" s="1">
        <f ca="1">IF($K$49,Y15,#NUM!)</f>
        <v>-17.446902593484293</v>
      </c>
      <c r="AH4" s="2">
        <f ca="1">IF($K$49,Z15,#NUM!)</f>
        <v>-9.5963241721215322</v>
      </c>
    </row>
    <row r="5" spans="1:34" x14ac:dyDescent="0.3">
      <c r="A5">
        <v>2</v>
      </c>
      <c r="B5">
        <f>control!$E$19*COS($A5/180*PI())+control!$B$19</f>
        <v>41.99878165403819</v>
      </c>
      <c r="C5" s="2">
        <f>control!$E$19*SIN($A5/180*PI())+control!$C$19</f>
        <v>-20.930201006594999</v>
      </c>
      <c r="D5" s="1">
        <f>control!$B$20-control!$E$20/2</f>
        <v>-8</v>
      </c>
      <c r="E5" s="2">
        <f>control!$C$20-control!$F$20/2</f>
        <v>-6</v>
      </c>
      <c r="F5">
        <f>control!D20*TAN((control!$C$9/2+control!$C$8)/180*PI())</f>
        <v>2.6449047106269745</v>
      </c>
      <c r="G5" s="2">
        <f>control!D20*TAN((control!$C$9/2-control!$C$8)/180*PI())</f>
        <v>2.6449047106269745</v>
      </c>
      <c r="H5">
        <f ca="1">INDIRECT("'k" &amp; control!$B$17 &amp; "'!Y61")</f>
        <v>0.29654195678697226</v>
      </c>
      <c r="I5">
        <f ca="1">INDIRECT("'k" &amp; control!$B$17 &amp; "'!Z61")</f>
        <v>1.1466625475964136</v>
      </c>
      <c r="AG5" s="1">
        <f ca="1">IF($K$49,AC15,#NUM!)</f>
        <v>-23.605147173358045</v>
      </c>
      <c r="AH5" s="2">
        <f ca="1">IF($K$49,AD15,#NUM!)</f>
        <v>-33.408901977941376</v>
      </c>
    </row>
    <row r="6" spans="1:34" x14ac:dyDescent="0.3">
      <c r="A6">
        <v>3</v>
      </c>
      <c r="B6">
        <f>control!$E$19*COS($A6/180*PI())+control!$B$19</f>
        <v>41.997259069509148</v>
      </c>
      <c r="C6" s="2">
        <f>control!$E$19*SIN($A6/180*PI())+control!$C$19</f>
        <v>-20.895328087514113</v>
      </c>
      <c r="D6" s="1">
        <f>control!$B$20-control!$E$20/2</f>
        <v>-8</v>
      </c>
      <c r="E6" s="2">
        <f>control!$C$20+control!$F$20/2</f>
        <v>6</v>
      </c>
      <c r="F6" s="10" t="s">
        <v>8</v>
      </c>
      <c r="G6" s="9" t="s">
        <v>9</v>
      </c>
      <c r="I6" t="s">
        <v>59</v>
      </c>
      <c r="J6" t="s">
        <v>64</v>
      </c>
      <c r="K6" t="s">
        <v>65</v>
      </c>
      <c r="L6" t="s">
        <v>66</v>
      </c>
      <c r="AG6" s="1">
        <f ca="1">IF($K$49,AG2,#NUM!)</f>
        <v>21.692930342495533</v>
      </c>
      <c r="AH6" s="2">
        <f ca="1">IF($K$49,AH2,#NUM!)</f>
        <v>-26.014779923203928</v>
      </c>
    </row>
    <row r="7" spans="1:34" x14ac:dyDescent="0.3">
      <c r="A7">
        <v>4</v>
      </c>
      <c r="B7">
        <f>control!$E$19*COS($A7/180*PI())+control!$B$19</f>
        <v>41.995128100519651</v>
      </c>
      <c r="C7" s="2">
        <f>control!$E$19*SIN($A7/180*PI())+control!$C$19</f>
        <v>-20.860487052511751</v>
      </c>
      <c r="D7" s="1">
        <f>control!$B$20+control!$E$20/2</f>
        <v>8</v>
      </c>
      <c r="E7" s="2">
        <f>control!$C$20+control!$F$20/2</f>
        <v>6</v>
      </c>
      <c r="F7">
        <f>D3+G3</f>
        <v>12.729481833184753</v>
      </c>
      <c r="G7" s="2">
        <f>E3+G5</f>
        <v>8.6449047106269745</v>
      </c>
      <c r="H7" s="10" t="s">
        <v>60</v>
      </c>
      <c r="I7">
        <f ca="1">$I$4/$H$4</f>
        <v>-3.8667801346577915</v>
      </c>
      <c r="J7">
        <f ca="1">$I$5/$H$5</f>
        <v>3.8667801346577915</v>
      </c>
      <c r="K7" s="10">
        <f ca="1">G7-I7*F7</f>
        <v>57.867012187673026</v>
      </c>
      <c r="L7" s="10">
        <f ca="1">G7-J7*F7</f>
        <v>-40.577202766419077</v>
      </c>
    </row>
    <row r="8" spans="1:34" x14ac:dyDescent="0.3">
      <c r="A8">
        <v>5</v>
      </c>
      <c r="B8">
        <f>control!$E$19*COS($A8/180*PI())+control!$B$19</f>
        <v>41.992389396183491</v>
      </c>
      <c r="C8" s="2">
        <f>control!$E$19*SIN($A8/180*PI())+control!$C$19</f>
        <v>-20.825688514504684</v>
      </c>
      <c r="F8">
        <f>D4+G3</f>
        <v>12.729481833184753</v>
      </c>
      <c r="G8" s="2">
        <f>E4-F5</f>
        <v>-8.6449047106269745</v>
      </c>
      <c r="H8" s="10" t="s">
        <v>61</v>
      </c>
      <c r="I8">
        <f ca="1">$I$4/$H$4</f>
        <v>-3.8667801346577915</v>
      </c>
      <c r="J8">
        <f ca="1">$I$5/$H$5</f>
        <v>3.8667801346577915</v>
      </c>
      <c r="K8" s="10">
        <f ca="1">G8-I8*F8</f>
        <v>40.577202766419077</v>
      </c>
      <c r="L8" s="10">
        <f ca="1">G8-J8*F8</f>
        <v>-57.867012187673026</v>
      </c>
    </row>
    <row r="9" spans="1:34" x14ac:dyDescent="0.3">
      <c r="A9">
        <v>6</v>
      </c>
      <c r="B9">
        <f>control!$E$19*COS($A9/180*PI())+control!$B$19</f>
        <v>41.989043790736545</v>
      </c>
      <c r="C9" s="2">
        <f>control!$E$19*SIN($A9/180*PI())+control!$C$19</f>
        <v>-20.790943073464693</v>
      </c>
      <c r="F9">
        <f>D5-F3</f>
        <v>-12.729481833184753</v>
      </c>
      <c r="G9" s="2">
        <f>E5-F5</f>
        <v>-8.6449047106269745</v>
      </c>
      <c r="H9" s="10" t="s">
        <v>62</v>
      </c>
      <c r="I9">
        <f t="shared" ref="I9:I10" ca="1" si="0">$I$4/$H$4</f>
        <v>-3.8667801346577915</v>
      </c>
      <c r="J9">
        <f ca="1">$I$5/$H$5</f>
        <v>3.8667801346577915</v>
      </c>
      <c r="K9" s="10">
        <f ca="1">G9-I9*F9</f>
        <v>-57.867012187673026</v>
      </c>
      <c r="L9" s="10">
        <f ca="1">G9-J9*F9</f>
        <v>40.577202766419077</v>
      </c>
    </row>
    <row r="10" spans="1:34" x14ac:dyDescent="0.3">
      <c r="A10">
        <v>7</v>
      </c>
      <c r="B10">
        <f>control!$E$19*COS($A10/180*PI())+control!$B$19</f>
        <v>41.985092303282642</v>
      </c>
      <c r="C10" s="2">
        <f>control!$E$19*SIN($A10/180*PI())+control!$C$19</f>
        <v>-20.756261313189704</v>
      </c>
      <c r="F10">
        <f>D6-F3</f>
        <v>-12.729481833184753</v>
      </c>
      <c r="G10" s="2">
        <f>E6+G5</f>
        <v>8.6449047106269745</v>
      </c>
      <c r="H10" s="10" t="s">
        <v>63</v>
      </c>
      <c r="I10">
        <f t="shared" ca="1" si="0"/>
        <v>-3.8667801346577915</v>
      </c>
      <c r="J10">
        <f ca="1">$I$5/$H$5</f>
        <v>3.8667801346577915</v>
      </c>
      <c r="K10" s="10">
        <f ca="1">G10-I10*F10</f>
        <v>-40.577202766419077</v>
      </c>
      <c r="L10" s="10">
        <f ca="1">G10-J10*F10</f>
        <v>57.867012187673026</v>
      </c>
    </row>
    <row r="11" spans="1:34" x14ac:dyDescent="0.3">
      <c r="A11">
        <v>8</v>
      </c>
      <c r="B11">
        <f>control!$E$19*COS($A11/180*PI())+control!$B$19</f>
        <v>41.980536137483142</v>
      </c>
      <c r="C11" s="2">
        <f>control!$E$19*SIN($A11/180*PI())+control!$C$19</f>
        <v>-20.721653798079871</v>
      </c>
      <c r="F11">
        <f>D7+G3</f>
        <v>12.729481833184753</v>
      </c>
      <c r="G11" s="2">
        <f>E7+G5</f>
        <v>8.6449047106269745</v>
      </c>
      <c r="H11" s="10"/>
      <c r="I11" t="s">
        <v>72</v>
      </c>
      <c r="J11" t="s">
        <v>65</v>
      </c>
      <c r="K11" t="s">
        <v>66</v>
      </c>
      <c r="L11" t="s">
        <v>52</v>
      </c>
      <c r="M11" t="s">
        <v>53</v>
      </c>
      <c r="N11" t="s">
        <v>104</v>
      </c>
      <c r="O11" t="s">
        <v>105</v>
      </c>
      <c r="P11" t="s">
        <v>20</v>
      </c>
    </row>
    <row r="12" spans="1:34" x14ac:dyDescent="0.3">
      <c r="A12">
        <v>9</v>
      </c>
      <c r="B12">
        <f>control!$E$19*COS($A12/180*PI())+control!$B$19</f>
        <v>41.975376681190276</v>
      </c>
      <c r="C12" s="2">
        <f>control!$E$19*SIN($A12/180*PI())+control!$C$19</f>
        <v>-20.687131069919538</v>
      </c>
      <c r="H12" s="10" t="s">
        <v>67</v>
      </c>
      <c r="I12" s="10">
        <f ca="1">I2/H2</f>
        <v>0.16323257984071463</v>
      </c>
      <c r="J12" s="10">
        <f ca="1">M12-I12*L12</f>
        <v>-29.555772907314388</v>
      </c>
      <c r="K12" s="10">
        <f ca="1">O12-I12*N12</f>
        <v>-25.50283347994278</v>
      </c>
      <c r="L12">
        <f ca="1">control!$B$19+control!$E$19*COS($P$12+PI()/2)</f>
        <v>40.322200877197069</v>
      </c>
      <c r="M12">
        <f ca="1">control!$C$19+control!$E$19*SIN($P$12+PI()/2)</f>
        <v>-22.973876033273985</v>
      </c>
      <c r="N12">
        <f ca="1">control!$B$19+control!$E$19*COS($P$12-PI()/2)</f>
        <v>39.677799122802931</v>
      </c>
      <c r="O12">
        <f ca="1">control!$C$19+control!$E$19*SIN($P$12-PI()/2)</f>
        <v>-19.026123966726015</v>
      </c>
      <c r="P12">
        <f ca="1">ATAN2(H2,I2)</f>
        <v>-2.9797870991105406</v>
      </c>
    </row>
    <row r="13" spans="1:34" x14ac:dyDescent="0.3">
      <c r="A13">
        <v>10</v>
      </c>
      <c r="B13">
        <f>control!$E$19*COS($A13/180*PI())+control!$B$19</f>
        <v>41.969615506024418</v>
      </c>
      <c r="C13" s="2">
        <f>control!$E$19*SIN($A13/180*PI())+control!$C$19</f>
        <v>-20.65270364466614</v>
      </c>
      <c r="F13" t="s">
        <v>36</v>
      </c>
      <c r="G13" s="2" t="s">
        <v>37</v>
      </c>
      <c r="H13" s="10" t="s">
        <v>68</v>
      </c>
      <c r="I13">
        <f ca="1">I3/H3</f>
        <v>-0.16323257984071429</v>
      </c>
      <c r="J13" s="10">
        <f ca="1">M13-I13*L13</f>
        <v>-16.497166520057231</v>
      </c>
      <c r="K13" s="10">
        <f ca="1">O13-I13*N13</f>
        <v>-12.444227092685624</v>
      </c>
      <c r="L13">
        <f ca="1">control!$B$19+control!$E$19*COS($P$13+PI()/2)</f>
        <v>39.677799122802931</v>
      </c>
      <c r="M13">
        <f ca="1">control!$C$19+control!$E$19*SIN($P$13+PI()/2)</f>
        <v>-22.973876033273985</v>
      </c>
      <c r="N13">
        <f ca="1">control!$B$19+control!$E$19*COS($P$13-PI()/2)</f>
        <v>40.322200877197069</v>
      </c>
      <c r="O13">
        <f ca="1">control!$C$19+control!$E$19*SIN($P$13-PI()/2)</f>
        <v>-19.026123966726015</v>
      </c>
      <c r="P13">
        <f ca="1">ATAN2(H3,I3)</f>
        <v>2.9797870991105411</v>
      </c>
    </row>
    <row r="14" spans="1:34" x14ac:dyDescent="0.3">
      <c r="A14">
        <v>11</v>
      </c>
      <c r="B14">
        <f>control!$E$19*COS($A14/180*PI())+control!$B$19</f>
        <v>41.963254366895328</v>
      </c>
      <c r="C14" s="2">
        <f>control!$E$19*SIN($A14/180*PI())+control!$C$19</f>
        <v>-20.618382009246911</v>
      </c>
      <c r="F14">
        <f>(MAX(F7:F10)+MIN(F7:F10))/2</f>
        <v>0</v>
      </c>
      <c r="G14" s="2">
        <f>(MAX(G7:G10)+MIN(G7:G10))/2</f>
        <v>0</v>
      </c>
      <c r="M14" s="37" t="s">
        <v>106</v>
      </c>
      <c r="N14" s="39"/>
      <c r="O14" s="39"/>
      <c r="P14" s="38"/>
      <c r="Q14" s="37" t="s">
        <v>108</v>
      </c>
      <c r="R14" s="39"/>
      <c r="S14" s="39"/>
      <c r="T14" s="38"/>
      <c r="U14" s="37" t="s">
        <v>109</v>
      </c>
      <c r="V14" s="39"/>
      <c r="W14" s="39"/>
      <c r="X14" s="38"/>
      <c r="Y14" s="37" t="s">
        <v>110</v>
      </c>
      <c r="Z14" s="39"/>
      <c r="AA14" s="39"/>
      <c r="AB14" s="38"/>
      <c r="AC14" s="37" t="s">
        <v>111</v>
      </c>
      <c r="AD14" s="39"/>
      <c r="AE14" s="39"/>
      <c r="AF14" s="38"/>
    </row>
    <row r="15" spans="1:34" x14ac:dyDescent="0.3">
      <c r="A15">
        <v>12</v>
      </c>
      <c r="B15">
        <f>control!$E$19*COS($A15/180*PI())+control!$B$19</f>
        <v>41.956295201467611</v>
      </c>
      <c r="C15" s="2">
        <f>control!$E$19*SIN($A15/180*PI())+control!$C$19</f>
        <v>-20.584176618364481</v>
      </c>
      <c r="M15" s="1">
        <f ca="1">MIN($I$17:$I$48)</f>
        <v>-23.605147173358045</v>
      </c>
      <c r="N15">
        <f ca="1">MIN($J$17:$J$48)</f>
        <v>-33.408901977941376</v>
      </c>
      <c r="P15" s="2">
        <f ca="1">16+MATCH(MAX(P17:P48), P17:P48, 0)</f>
        <v>17</v>
      </c>
      <c r="Q15" s="1" cm="1">
        <f t="array" aca="1" ref="Q15" ca="1">INDEX($I:$I,P15)</f>
        <v>21.692930342495533</v>
      </c>
      <c r="R15">
        <f ca="1">INDEX($J:$J,P15)</f>
        <v>-26.014779923203928</v>
      </c>
      <c r="T15" s="2">
        <f ca="1">16+MATCH(MAX(T17:T48), T17:T48, 0)</f>
        <v>41</v>
      </c>
      <c r="U15" s="1" cm="1">
        <f t="array" aca="1" ref="U15" ca="1">INDEX($I:$I,T15)</f>
        <v>18.984835010126233</v>
      </c>
      <c r="V15" cm="1">
        <f t="array" aca="1" ref="V15" ca="1">INDEX($J:$J,T15)</f>
        <v>-15.543170689238844</v>
      </c>
      <c r="X15" s="2">
        <f ca="1">16+MATCH(MAX(X17:X48), X17:X48, 0)</f>
        <v>48</v>
      </c>
      <c r="Y15" s="1" cm="1">
        <f t="array" aca="1" ref="Y15" ca="1">INDEX($I:$I,X15)</f>
        <v>-17.446902593484293</v>
      </c>
      <c r="Z15" cm="1">
        <f t="array" aca="1" ref="Z15" ca="1">INDEX($J:$J,X15)</f>
        <v>-9.5963241721215322</v>
      </c>
      <c r="AB15" s="2">
        <f ca="1">16+MATCH(MAX(AB17:AB48), AB17:AB48, 0)</f>
        <v>24</v>
      </c>
      <c r="AC15" s="1" cm="1">
        <f t="array" aca="1" ref="AC15" ca="1">INDEX($I:$I,AB15)</f>
        <v>-23.605147173358045</v>
      </c>
      <c r="AD15" cm="1">
        <f t="array" aca="1" ref="AD15" ca="1">INDEX($J:$J,AB15)</f>
        <v>-33.408901977941376</v>
      </c>
      <c r="AF15" s="2">
        <f ca="1">16+MATCH(MAX(AF17:AF48), AF17:AF48, 0)</f>
        <v>17</v>
      </c>
    </row>
    <row r="16" spans="1:34" x14ac:dyDescent="0.3">
      <c r="A16">
        <v>13</v>
      </c>
      <c r="B16">
        <f>control!$E$19*COS($A16/180*PI())+control!$B$19</f>
        <v>41.948740129570467</v>
      </c>
      <c r="C16" s="2">
        <f>control!$E$19*SIN($A16/180*PI())+control!$C$19</f>
        <v>-20.550097891312269</v>
      </c>
      <c r="I16" t="s">
        <v>69</v>
      </c>
      <c r="J16" t="s">
        <v>70</v>
      </c>
      <c r="K16" t="s">
        <v>112</v>
      </c>
      <c r="L16" t="s">
        <v>113</v>
      </c>
      <c r="M16" s="29" t="s">
        <v>107</v>
      </c>
      <c r="N16" t="s">
        <v>12</v>
      </c>
      <c r="O16" t="s">
        <v>12</v>
      </c>
      <c r="P16" s="2">
        <f ca="1">MIN(O17:O48)</f>
        <v>9.270775373435244</v>
      </c>
      <c r="Q16" s="29" t="s">
        <v>107</v>
      </c>
      <c r="R16" t="s">
        <v>12</v>
      </c>
      <c r="S16" t="s">
        <v>12</v>
      </c>
      <c r="T16" s="2">
        <f ca="1">MAX(S17:S48)</f>
        <v>84.771016168346051</v>
      </c>
      <c r="U16" s="29" t="s">
        <v>107</v>
      </c>
      <c r="V16" t="s">
        <v>12</v>
      </c>
      <c r="W16" t="s">
        <v>12</v>
      </c>
      <c r="X16" s="2">
        <f ca="1">MAX(W17:W48)</f>
        <v>113.7705345785245</v>
      </c>
      <c r="Y16" s="29" t="s">
        <v>107</v>
      </c>
      <c r="Z16" t="s">
        <v>12</v>
      </c>
      <c r="AA16" t="s">
        <v>12</v>
      </c>
      <c r="AB16" s="2">
        <f ca="1">MAX(AA17:AA48)</f>
        <v>95.228983831653963</v>
      </c>
      <c r="AC16" s="29" t="s">
        <v>107</v>
      </c>
      <c r="AD16" t="s">
        <v>12</v>
      </c>
      <c r="AE16" t="s">
        <v>12</v>
      </c>
      <c r="AF16" s="2">
        <f ca="1">MAX(AE17:AE48)</f>
        <v>66.229465421475524</v>
      </c>
    </row>
    <row r="17" spans="1:32" x14ac:dyDescent="0.3">
      <c r="A17">
        <v>14</v>
      </c>
      <c r="B17">
        <f>control!$E$19*COS($A17/180*PI())+control!$B$19</f>
        <v>41.940591452551992</v>
      </c>
      <c r="C17" s="2">
        <f>control!$E$19*SIN($A17/180*PI())+control!$C$19</f>
        <v>-20.516156208800666</v>
      </c>
      <c r="H17" s="27" t="s">
        <v>73</v>
      </c>
      <c r="I17">
        <f ca="1">($J$12-K7)/(I7-$I$12)</f>
        <v>21.692930342495533</v>
      </c>
      <c r="J17">
        <f ca="1">(I7*$J$12-$I$12*K7)/(I7-$I$12)</f>
        <v>-26.014779923203928</v>
      </c>
      <c r="K17" t="b">
        <f ca="1">(layout!I17-control!$B$19)*COS(control!$C$12/180*PI())+(layout!J17-control!$C$19)*SIN(control!$C$12/180*PI())&gt;0</f>
        <v>1</v>
      </c>
      <c r="L17" t="b">
        <f ca="1">(layout!I17-$F$14)*COS(control!$C$14/180*PI())+(layout!J17-$G$14)*SIN(control!$C$14/180*PI())&gt;0</f>
        <v>1</v>
      </c>
      <c r="M17" s="29">
        <f ca="1">SQRT(($I17-M$15)^2+($J17-N$15)^2)</f>
        <v>45.897591087034556</v>
      </c>
      <c r="N17">
        <f ca="1">IF(M17=0,10^9,ATAN2($I17-M$15,$J17-N$15)/PI()*180)</f>
        <v>9.2707753734352814</v>
      </c>
      <c r="O17">
        <f ca="1">IF(N17&lt;0,N17+360,N17)</f>
        <v>9.2707753734352814</v>
      </c>
      <c r="P17" s="2">
        <f ca="1">IFERROR(INDEX(M:M,IF(ABS(O17-P$16)&lt;0.000001,ROW(O17),"")),"")</f>
        <v>45.897591087034556</v>
      </c>
      <c r="Q17" s="29">
        <f ca="1">SQRT(($I17-Q$15)^2+($J17-R$15)^2)</f>
        <v>0</v>
      </c>
      <c r="R17">
        <f ca="1">IF(Q17=0,0,DEGREES(ACOS(MAX(-1, MIN(1,((M$15-Q$15)*($I17-Q$15)+(N$15-R$15)*($J17-R$15))/(SQRT((M$15-Q$15)^2+(N$15-R$15)^2)*SQRT(($I17-Q$15)^2+($J17-R$15)^2)))))))</f>
        <v>0</v>
      </c>
      <c r="S17">
        <f ca="1">IF(R17&lt;0,R17+360,R17)</f>
        <v>0</v>
      </c>
      <c r="T17" s="2" t="str">
        <f ca="1">IFERROR(INDEX(Q:Q,IF(ABS(S17-T$16)&lt;0.000001,ROW(S17),"")),"")</f>
        <v/>
      </c>
      <c r="U17" s="29">
        <f ca="1">SQRT(($I17-U$15)^2+($J17-V$15)^2)</f>
        <v>10.816116691218859</v>
      </c>
      <c r="V17">
        <f ca="1">IF(U17=0,0,DEGREES(ACOS(MAX(-1, MIN(1,((Q$15-U$15)*($I17-U$15)+(R$15-V$15)*($J17-V$15))/(SQRT((Q$15-U$15)^2+(R$15-V$15)^2)*SQRT(($I17-U$15)^2+($J17-V$15)^2)))))))</f>
        <v>0</v>
      </c>
      <c r="W17">
        <f ca="1">IF(V17&lt;0,V17+360,V17)</f>
        <v>0</v>
      </c>
      <c r="X17" s="2" t="str">
        <f ca="1">IFERROR(INDEX(U:U,IF(ABS(W17-X$16)&lt;0.000001,ROW(W17),"")),"")</f>
        <v/>
      </c>
      <c r="Y17" s="29">
        <f ca="1">SQRT(($I17-Y$15)^2+($J17-Z$15)^2)</f>
        <v>42.443989109256236</v>
      </c>
      <c r="Z17">
        <f ca="1">IF(Y17=0,0,DEGREES(ACOS(MAX(-1, MIN(1,((U$15-Y$15)*($I17-Y$15)+(V$15-Z$15)*($J17-Z$15))/(SQRT((U$15-Y$15)^2+(V$15-Z$15)^2)*SQRT(($I17-Y$15)^2+($J17-Z$15)^2)))))))</f>
        <v>13.48639728408693</v>
      </c>
      <c r="AA17">
        <f ca="1">IF(Z17&lt;0,Z17+360,Z17)</f>
        <v>13.48639728408693</v>
      </c>
      <c r="AB17" s="2" t="str">
        <f ca="1">IFERROR(INDEX(Y:Y,IF(ABS(AA17-AB$16)&lt;0.000001,ROW(AA17),"")),"")</f>
        <v/>
      </c>
      <c r="AC17" s="29">
        <f ca="1">SQRT(($I17-AC$15)^2+($J17-AD$15)^2)</f>
        <v>45.897591087034556</v>
      </c>
      <c r="AD17">
        <f ca="1">IF(AC17=0,0,DEGREES(ACOS(MAX(-1, MIN(1,((Y$15-AC$15)*($I17-AC$15)+(Z$15-AD$15)*($J17-AD$15))/(SQRT((Y$15-AC$15)^2+(Z$15-AD$15)^2)*SQRT(($I17-AC$15)^2+($J17-AD$15)^2)))))))</f>
        <v>66.229465421475496</v>
      </c>
      <c r="AE17">
        <f ca="1">IF(AD17&lt;0,AD17+360,AD17)</f>
        <v>66.229465421475496</v>
      </c>
      <c r="AF17" s="2">
        <f ca="1">IFERROR(INDEX(AC:AC,IF(ABS(AE17-AF$16)&lt;0.000001,ROW(AE17),"")),"")</f>
        <v>45.897591087034556</v>
      </c>
    </row>
    <row r="18" spans="1:32" x14ac:dyDescent="0.3">
      <c r="A18">
        <v>15</v>
      </c>
      <c r="B18">
        <f>control!$E$19*COS($A18/180*PI())+control!$B$19</f>
        <v>41.931851652578139</v>
      </c>
      <c r="C18" s="2">
        <f>control!$E$19*SIN($A18/180*PI())+control!$C$19</f>
        <v>-20.48236190979496</v>
      </c>
      <c r="H18" s="27" t="s">
        <v>71</v>
      </c>
      <c r="I18">
        <f ca="1">($J$12-K8)/(I8-$I$12)</f>
        <v>17.402668587476356</v>
      </c>
      <c r="J18">
        <f ca="1">(I8*$J$12-$I$12*K8)/(I8-$I$12)</f>
        <v>-26.71509041766766</v>
      </c>
      <c r="K18" t="b">
        <f ca="1">(layout!I18-control!$B$19)*COS(control!$C$12/180*PI())+(layout!J18-control!$C$19)*SIN(control!$C$12/180*PI())&gt;0</f>
        <v>1</v>
      </c>
      <c r="L18" t="b">
        <f ca="1">(layout!I18-$F$14)*COS(control!$C$14/180*PI())+(layout!J18-$G$14)*SIN(control!$C$14/180*PI())&gt;0</f>
        <v>1</v>
      </c>
      <c r="M18" s="29">
        <f ca="1">SQRT(($I18-M$15)^2+($J18-N$15)^2)</f>
        <v>41.55054833186913</v>
      </c>
      <c r="N18">
        <f ca="1">IF(M18=0,10^9,ATAN2($I18-M$15,$J18-N$15)/PI()*180)</f>
        <v>9.2707753734352778</v>
      </c>
      <c r="O18">
        <f t="shared" ref="O18:O48" ca="1" si="1">IF(N18&lt;0,N18+360,N18)</f>
        <v>9.2707753734352778</v>
      </c>
      <c r="P18" s="2">
        <f t="shared" ref="P18:P48" ca="1" si="2">IFERROR(INDEX(M:M,IF(ABS(O18-P$16)&lt;0.000001,ROW(O18),"")),"")</f>
        <v>41.55054833186913</v>
      </c>
      <c r="Q18" s="29">
        <f ca="1">SQRT(($I18-Q$15)^2+($J18-R$15)^2)</f>
        <v>4.3470427551654316</v>
      </c>
      <c r="R18">
        <f ca="1">IF(Q18=0,0,DEGREES(ACOS(MAX(-1, MIN(1,((M$15-Q$15)*($I18-Q$15)+(N$15-R$15)*($J18-R$15))/(SQRT((M$15-Q$15)^2+(N$15-R$15)^2)*SQRT(($I18-Q$15)^2+($J18-R$15)^2)))))))</f>
        <v>0</v>
      </c>
      <c r="S18">
        <f t="shared" ref="S18:S48" ca="1" si="3">IF(R18&lt;0,R18+360,R18)</f>
        <v>0</v>
      </c>
      <c r="T18" s="2" t="str">
        <f t="shared" ref="T18:T48" ca="1" si="4">IFERROR(INDEX(Q:Q,IF(ABS(S18-T$16)&lt;0.000001,ROW(S18),"")),"")</f>
        <v/>
      </c>
      <c r="U18" s="29">
        <f ca="1">SQRT(($I18-U$15)^2+($J18-V$15)^2)</f>
        <v>11.283396696359555</v>
      </c>
      <c r="V18">
        <f ca="1">IF(U18=0,0,DEGREES(ACOS(MAX(-1, MIN(1,((Q$15-U$15)*($I18-U$15)+(R$15-V$15)*($J18-V$15))/(SQRT((Q$15-U$15)^2+(R$15-V$15)^2)*SQRT(($I18-U$15)^2+($J18-V$15)^2)))))))</f>
        <v>22.560379886735419</v>
      </c>
      <c r="W18">
        <f t="shared" ref="W18:W48" ca="1" si="5">IF(V18&lt;0,V18+360,V18)</f>
        <v>22.560379886735419</v>
      </c>
      <c r="X18" s="2" t="str">
        <f t="shared" ref="X18:X48" ca="1" si="6">IFERROR(INDEX(U:U,IF(ABS(W18-X$16)&lt;0.000001,ROW(W18),"")),"")</f>
        <v/>
      </c>
      <c r="Y18" s="29">
        <f ca="1">SQRT(($I18-Y$15)^2+($J18-Z$15)^2)</f>
        <v>38.827113841573293</v>
      </c>
      <c r="Z18">
        <f ca="1">IF(Y18=0,0,DEGREES(ACOS(MAX(-1, MIN(1,((U$15-Y$15)*($I18-Y$15)+(V$15-Z$15)*($J18-Z$15))/(SQRT((U$15-Y$15)^2+(V$15-Z$15)^2)*SQRT(($I18-Y$15)^2+($J18-Z$15)^2)))))))</f>
        <v>16.890365441323588</v>
      </c>
      <c r="AA18">
        <f t="shared" ref="AA18:AA48" ca="1" si="7">IF(Z18&lt;0,Z18+360,Z18)</f>
        <v>16.890365441323588</v>
      </c>
      <c r="AB18" s="2" t="str">
        <f t="shared" ref="AB18:AB48" ca="1" si="8">IFERROR(INDEX(Y:Y,IF(ABS(AA18-AB$16)&lt;0.000001,ROW(AA18),"")),"")</f>
        <v/>
      </c>
      <c r="AC18" s="29">
        <f ca="1">SQRT(($I18-AC$15)^2+($J18-AD$15)^2)</f>
        <v>41.55054833186913</v>
      </c>
      <c r="AD18">
        <f ca="1">IF(AC18=0,0,DEGREES(ACOS(MAX(-1, MIN(1,((Y$15-AC$15)*($I18-AC$15)+(Z$15-AD$15)*($J18-AD$15))/(SQRT((Y$15-AC$15)^2+(Z$15-AD$15)^2)*SQRT(($I18-AC$15)^2+($J18-AD$15)^2)))))))</f>
        <v>66.229465421475496</v>
      </c>
      <c r="AE18">
        <f t="shared" ref="AE18:AE48" ca="1" si="9">IF(AD18&lt;0,AD18+360,AD18)</f>
        <v>66.229465421475496</v>
      </c>
      <c r="AF18" s="2">
        <f t="shared" ref="AF18:AF48" ca="1" si="10">IFERROR(INDEX(AC:AC,IF(ABS(AE18-AF$16)&lt;0.000001,ROW(AE18),"")),"")</f>
        <v>41.55054833186913</v>
      </c>
    </row>
    <row r="19" spans="1:32" x14ac:dyDescent="0.3">
      <c r="A19">
        <v>16</v>
      </c>
      <c r="B19">
        <f>control!$E$19*COS($A19/180*PI())+control!$B$19</f>
        <v>41.922523391876638</v>
      </c>
      <c r="C19" s="2">
        <f>control!$E$19*SIN($A19/180*PI())+control!$C$19</f>
        <v>-20.448725288366003</v>
      </c>
      <c r="H19" s="27" t="s">
        <v>74</v>
      </c>
      <c r="I19">
        <f ca="1">($J$12-K9)/(I9-$I$12)</f>
        <v>-7.0250992455942374</v>
      </c>
      <c r="J19">
        <f ca="1">(I9*$J$12-$I$12*K9)/(I9-$I$12)</f>
        <v>-30.702497980809799</v>
      </c>
      <c r="K19" t="b">
        <f ca="1">(layout!I19-control!$B$19)*COS(control!$C$12/180*PI())+(layout!J19-control!$C$19)*SIN(control!$C$12/180*PI())&gt;0</f>
        <v>1</v>
      </c>
      <c r="L19" t="b">
        <f ca="1">(layout!I19-$F$14)*COS(control!$C$14/180*PI())+(layout!J19-$G$14)*SIN(control!$C$14/180*PI())&gt;0</f>
        <v>1</v>
      </c>
      <c r="M19" s="29">
        <f ca="1">SQRT(($I19-M$15)^2+($J19-N$15)^2)</f>
        <v>16.79948248853621</v>
      </c>
      <c r="N19">
        <f ca="1">IF(M19=0,10^9,ATAN2($I19-M$15,$J19-N$15)/PI()*180)</f>
        <v>9.2707753734352707</v>
      </c>
      <c r="O19">
        <f t="shared" ca="1" si="1"/>
        <v>9.2707753734352707</v>
      </c>
      <c r="P19" s="2">
        <f t="shared" ca="1" si="2"/>
        <v>16.79948248853621</v>
      </c>
      <c r="Q19" s="29">
        <f ca="1">SQRT(($I19-Q$15)^2+($J19-R$15)^2)</f>
        <v>29.098108598498349</v>
      </c>
      <c r="R19">
        <f ca="1">IF(Q19=0,0,DEGREES(ACOS(MAX(-1, MIN(1,((M$15-Q$15)*($I19-Q$15)+(N$15-R$15)*($J19-R$15))/(SQRT((M$15-Q$15)^2+(N$15-R$15)^2)*SQRT(($I19-Q$15)^2+($J19-R$15)^2)))))))</f>
        <v>0</v>
      </c>
      <c r="S19">
        <f t="shared" ca="1" si="3"/>
        <v>0</v>
      </c>
      <c r="T19" s="2" t="str">
        <f t="shared" ca="1" si="4"/>
        <v/>
      </c>
      <c r="U19" s="29">
        <f ca="1">SQRT(($I19-U$15)^2+($J19-V$15)^2)</f>
        <v>30.105180350229912</v>
      </c>
      <c r="V19">
        <f ca="1">IF(U19=0,0,DEGREES(ACOS(MAX(-1, MIN(1,((Q$15-U$15)*($I19-U$15)+(R$15-V$15)*($J19-V$15))/(SQRT((Q$15-U$15)^2+(R$15-V$15)^2)*SQRT(($I19-U$15)^2+($J19-V$15)^2)))))))</f>
        <v>74.264914039856706</v>
      </c>
      <c r="W19">
        <f t="shared" ca="1" si="5"/>
        <v>74.264914039856706</v>
      </c>
      <c r="X19" s="2" t="str">
        <f t="shared" ca="1" si="6"/>
        <v/>
      </c>
      <c r="Y19" s="29">
        <f ca="1">SQRT(($I19-Y$15)^2+($J19-Z$15)^2)</f>
        <v>23.539000783054725</v>
      </c>
      <c r="Z19">
        <f ca="1">IF(Y19=0,0,DEGREES(ACOS(MAX(-1, MIN(1,((U$15-Y$15)*($I19-Y$15)+(V$15-Z$15)*($J19-Z$15))/(SQRT((U$15-Y$15)^2+(V$15-Z$15)^2)*SQRT(($I19-Y$15)^2+($J19-Z$15)^2)))))))</f>
        <v>54.449992871714237</v>
      </c>
      <c r="AA19">
        <f t="shared" ca="1" si="7"/>
        <v>54.449992871714237</v>
      </c>
      <c r="AB19" s="2" t="str">
        <f t="shared" ca="1" si="8"/>
        <v/>
      </c>
      <c r="AC19" s="29">
        <f ca="1">SQRT(($I19-AC$15)^2+($J19-AD$15)^2)</f>
        <v>16.79948248853621</v>
      </c>
      <c r="AD19">
        <f ca="1">IF(AC19=0,0,DEGREES(ACOS(MAX(-1, MIN(1,((Y$15-AC$15)*($I19-AC$15)+(Z$15-AD$15)*($J19-AD$15))/(SQRT((Y$15-AC$15)^2+(Z$15-AD$15)^2)*SQRT(($I19-AC$15)^2+($J19-AD$15)^2)))))))</f>
        <v>66.229465421475496</v>
      </c>
      <c r="AE19">
        <f t="shared" ca="1" si="9"/>
        <v>66.229465421475496</v>
      </c>
      <c r="AF19" s="2">
        <f t="shared" ca="1" si="10"/>
        <v>16.79948248853621</v>
      </c>
    </row>
    <row r="20" spans="1:32" x14ac:dyDescent="0.3">
      <c r="A20">
        <v>17</v>
      </c>
      <c r="B20">
        <f>control!$E$19*COS($A20/180*PI())+control!$B$19</f>
        <v>41.912609511926071</v>
      </c>
      <c r="C20" s="2">
        <f>control!$E$19*SIN($A20/180*PI())+control!$C$19</f>
        <v>-20.415256590554527</v>
      </c>
      <c r="H20" s="27" t="s">
        <v>75</v>
      </c>
      <c r="I20">
        <f ca="1">($J$12-K10)/(I10-$I$12)</f>
        <v>-2.7348374905750625</v>
      </c>
      <c r="J20">
        <f ca="1">(I10*$J$12-$I$12*K10)/(I10-$I$12)</f>
        <v>-30.002187486346067</v>
      </c>
      <c r="K20" t="b">
        <f ca="1">(layout!I20-control!$B$19)*COS(control!$C$12/180*PI())+(layout!J20-control!$C$19)*SIN(control!$C$12/180*PI())&gt;0</f>
        <v>1</v>
      </c>
      <c r="L20" t="b">
        <f ca="1">(layout!I20-$F$14)*COS(control!$C$14/180*PI())+(layout!J20-$G$14)*SIN(control!$C$14/180*PI())&gt;0</f>
        <v>1</v>
      </c>
      <c r="M20" s="29">
        <f ca="1">SQRT(($I20-M$15)^2+($J20-N$15)^2)</f>
        <v>21.146525243701635</v>
      </c>
      <c r="N20">
        <f ca="1">IF(M20=0,10^9,ATAN2($I20-M$15,$J20-N$15)/PI()*180)</f>
        <v>9.270775373435276</v>
      </c>
      <c r="O20">
        <f t="shared" ca="1" si="1"/>
        <v>9.270775373435276</v>
      </c>
      <c r="P20" s="2">
        <f t="shared" ca="1" si="2"/>
        <v>21.146525243701635</v>
      </c>
      <c r="Q20" s="29">
        <f ca="1">SQRT(($I20-Q$15)^2+($J20-R$15)^2)</f>
        <v>24.751065843332924</v>
      </c>
      <c r="R20">
        <f ca="1">IF(Q20=0,0,DEGREES(ACOS(MAX(-1, MIN(1,((M$15-Q$15)*($I20-Q$15)+(N$15-R$15)*($J20-R$15))/(SQRT((M$15-Q$15)^2+(N$15-R$15)^2)*SQRT(($I20-Q$15)^2+($J20-R$15)^2)))))))</f>
        <v>0</v>
      </c>
      <c r="S20">
        <f t="shared" ca="1" si="3"/>
        <v>0</v>
      </c>
      <c r="T20" s="2" t="str">
        <f t="shared" ca="1" si="4"/>
        <v/>
      </c>
      <c r="U20" s="29">
        <f ca="1">SQRT(($I20-U$15)^2+($J20-V$15)^2)</f>
        <v>26.092285071966174</v>
      </c>
      <c r="V20">
        <f ca="1">IF(U20=0,0,DEGREES(ACOS(MAX(-1, MIN(1,((Q$15-U$15)*($I20-U$15)+(R$15-V$15)*($J20-V$15))/(SQRT((Q$15-U$15)^2+(R$15-V$15)^2)*SQRT(($I20-U$15)^2+($J20-V$15)^2)))))))</f>
        <v>70.847630981849065</v>
      </c>
      <c r="W20">
        <f t="shared" ca="1" si="5"/>
        <v>70.847630981849065</v>
      </c>
      <c r="X20" s="2" t="str">
        <f t="shared" ca="1" si="6"/>
        <v/>
      </c>
      <c r="Y20" s="29">
        <f ca="1">SQRT(($I20-Y$15)^2+($J20-Z$15)^2)</f>
        <v>25.156393167365113</v>
      </c>
      <c r="Z20">
        <f ca="1">IF(Y20=0,0,DEGREES(ACOS(MAX(-1, MIN(1,((U$15-Y$15)*($I20-Y$15)+(V$15-Z$15)*($J20-Z$15))/(SQRT((U$15-Y$15)^2+(V$15-Z$15)^2)*SQRT(($I20-Y$15)^2+($J20-Z$15)^2)))))))</f>
        <v>44.938659863227045</v>
      </c>
      <c r="AA20">
        <f t="shared" ca="1" si="7"/>
        <v>44.938659863227045</v>
      </c>
      <c r="AB20" s="2" t="str">
        <f t="shared" ca="1" si="8"/>
        <v/>
      </c>
      <c r="AC20" s="29">
        <f ca="1">SQRT(($I20-AC$15)^2+($J20-AD$15)^2)</f>
        <v>21.146525243701635</v>
      </c>
      <c r="AD20">
        <f ca="1">IF(AC20=0,0,DEGREES(ACOS(MAX(-1, MIN(1,((Y$15-AC$15)*($I20-AC$15)+(Z$15-AD$15)*($J20-AD$15))/(SQRT((Y$15-AC$15)^2+(Z$15-AD$15)^2)*SQRT(($I20-AC$15)^2+($J20-AD$15)^2)))))))</f>
        <v>66.229465421475496</v>
      </c>
      <c r="AE20">
        <f t="shared" ca="1" si="9"/>
        <v>66.229465421475496</v>
      </c>
      <c r="AF20" s="2">
        <f t="shared" ca="1" si="10"/>
        <v>21.146525243701635</v>
      </c>
    </row>
    <row r="21" spans="1:32" x14ac:dyDescent="0.3">
      <c r="A21">
        <v>18</v>
      </c>
      <c r="B21">
        <f>control!$E$19*COS($A21/180*PI())+control!$B$19</f>
        <v>41.902113032590307</v>
      </c>
      <c r="C21" s="2">
        <f>control!$E$19*SIN($A21/180*PI())+control!$C$19</f>
        <v>-20.381966011250107</v>
      </c>
      <c r="H21" s="27" t="s">
        <v>76</v>
      </c>
      <c r="I21">
        <f ca="1">($J$12-L7)/(J7-$I$12)</f>
        <v>2.9759115269816085</v>
      </c>
      <c r="J21">
        <f ca="1">(J7*$J$12-$I$12*L7)/(J7-$I$12)</f>
        <v>-29.070007191387461</v>
      </c>
      <c r="K21" t="b">
        <f ca="1">(layout!I21-control!$B$19)*COS(control!$C$12/180*PI())+(layout!J21-control!$C$19)*SIN(control!$C$12/180*PI())&gt;0</f>
        <v>1</v>
      </c>
      <c r="L21" t="b">
        <f ca="1">(layout!I21-$F$14)*COS(control!$C$14/180*PI())+(layout!J21-$G$14)*SIN(control!$C$14/180*PI())&gt;0</f>
        <v>1</v>
      </c>
      <c r="M21" s="29">
        <f ca="1">SQRT(($I21-M$15)^2+($J21-N$15)^2)</f>
        <v>26.932855206971414</v>
      </c>
      <c r="N21">
        <f ca="1">IF(M21=0,10^9,ATAN2($I21-M$15,$J21-N$15)/PI()*180)</f>
        <v>9.2707753734352831</v>
      </c>
      <c r="O21">
        <f t="shared" ca="1" si="1"/>
        <v>9.2707753734352831</v>
      </c>
      <c r="P21" s="2">
        <f t="shared" ca="1" si="2"/>
        <v>26.932855206971414</v>
      </c>
      <c r="Q21" s="29">
        <f ca="1">SQRT(($I21-Q$15)^2+($J21-R$15)^2)</f>
        <v>18.964735880063145</v>
      </c>
      <c r="R21">
        <f ca="1">IF(Q21=0,0,DEGREES(ACOS(MAX(-1, MIN(1,((M$15-Q$15)*($I21-Q$15)+(N$15-R$15)*($J21-R$15))/(SQRT((M$15-Q$15)^2+(N$15-R$15)^2)*SQRT(($I21-Q$15)^2+($J21-R$15)^2)))))))</f>
        <v>0</v>
      </c>
      <c r="S21">
        <f t="shared" ca="1" si="3"/>
        <v>0</v>
      </c>
      <c r="T21" s="2" t="str">
        <f t="shared" ca="1" si="4"/>
        <v/>
      </c>
      <c r="U21" s="29">
        <f ca="1">SQRT(($I21-U$15)^2+($J21-V$15)^2)</f>
        <v>20.958552832794531</v>
      </c>
      <c r="V21">
        <f ca="1">IF(U21=0,0,DEGREES(ACOS(MAX(-1, MIN(1,((Q$15-U$15)*($I21-U$15)+(R$15-V$15)*($J21-V$15))/(SQRT((Q$15-U$15)^2+(R$15-V$15)^2)*SQRT(($I21-U$15)^2+($J21-V$15)^2)))))))</f>
        <v>64.303418990741406</v>
      </c>
      <c r="W21">
        <f t="shared" ca="1" si="5"/>
        <v>64.303418990741406</v>
      </c>
      <c r="X21" s="2" t="str">
        <f t="shared" ca="1" si="6"/>
        <v/>
      </c>
      <c r="Y21" s="29">
        <f ca="1">SQRT(($I21-Y$15)^2+($J21-Z$15)^2)</f>
        <v>28.219065663730746</v>
      </c>
      <c r="Z21">
        <f ca="1">IF(Y21=0,0,DEGREES(ACOS(MAX(-1, MIN(1,((U$15-Y$15)*($I21-Y$15)+(V$15-Z$15)*($J21-Z$15))/(SQRT((U$15-Y$15)^2+(V$15-Z$15)^2)*SQRT(($I21-Y$15)^2+($J21-Z$15)^2)))))))</f>
        <v>34.366424517396311</v>
      </c>
      <c r="AA21">
        <f t="shared" ca="1" si="7"/>
        <v>34.366424517396311</v>
      </c>
      <c r="AB21" s="2" t="str">
        <f t="shared" ca="1" si="8"/>
        <v/>
      </c>
      <c r="AC21" s="29">
        <f ca="1">SQRT(($I21-AC$15)^2+($J21-AD$15)^2)</f>
        <v>26.932855206971414</v>
      </c>
      <c r="AD21">
        <f ca="1">IF(AC21=0,0,DEGREES(ACOS(MAX(-1, MIN(1,((Y$15-AC$15)*($I21-AC$15)+(Z$15-AD$15)*($J21-AD$15))/(SQRT((Y$15-AC$15)^2+(Z$15-AD$15)^2)*SQRT(($I21-AC$15)^2+($J21-AD$15)^2)))))))</f>
        <v>66.229465421475496</v>
      </c>
      <c r="AE21">
        <f t="shared" ca="1" si="9"/>
        <v>66.229465421475496</v>
      </c>
      <c r="AF21" s="2">
        <f t="shared" ca="1" si="10"/>
        <v>26.932855206971414</v>
      </c>
    </row>
    <row r="22" spans="1:32" x14ac:dyDescent="0.3">
      <c r="A22">
        <v>19</v>
      </c>
      <c r="B22">
        <f>control!$E$19*COS($A22/180*PI())+control!$B$19</f>
        <v>41.891037151198631</v>
      </c>
      <c r="C22" s="2">
        <f>control!$E$19*SIN($A22/180*PI())+control!$C$19</f>
        <v>-20.348863691085686</v>
      </c>
      <c r="H22" s="27" t="s">
        <v>77</v>
      </c>
      <c r="I22">
        <f ca="1">($J$12-L8)/(J8-$I$12)</f>
        <v>7.6443568933076573</v>
      </c>
      <c r="J22">
        <f ca="1">(J8*$J$12-$I$12*L8)/(J8-$I$12)</f>
        <v>-28.30796481039663</v>
      </c>
      <c r="K22" t="b">
        <f ca="1">(layout!I22-control!$B$19)*COS(control!$C$12/180*PI())+(layout!J22-control!$C$19)*SIN(control!$C$12/180*PI())&gt;0</f>
        <v>1</v>
      </c>
      <c r="L22" t="b">
        <f ca="1">(layout!I22-$F$14)*COS(control!$C$14/180*PI())+(layout!J22-$G$14)*SIN(control!$C$14/180*PI())&gt;0</f>
        <v>1</v>
      </c>
      <c r="M22" s="29">
        <f ca="1">SQRT(($I22-M$15)^2+($J22-N$15)^2)</f>
        <v>31.663086779399691</v>
      </c>
      <c r="N22">
        <f ca="1">IF(M22=0,10^9,ATAN2($I22-M$15,$J22-N$15)/PI()*180)</f>
        <v>9.2707753734352831</v>
      </c>
      <c r="O22">
        <f t="shared" ca="1" si="1"/>
        <v>9.2707753734352831</v>
      </c>
      <c r="P22" s="2">
        <f t="shared" ca="1" si="2"/>
        <v>31.663086779399691</v>
      </c>
      <c r="Q22" s="29">
        <f ca="1">SQRT(($I22-Q$15)^2+($J22-R$15)^2)</f>
        <v>14.234504307634865</v>
      </c>
      <c r="R22">
        <f ca="1">IF(Q22=0,0,DEGREES(ACOS(MAX(-1, MIN(1,((M$15-Q$15)*($I22-Q$15)+(N$15-R$15)*($J22-R$15))/(SQRT((M$15-Q$15)^2+(N$15-R$15)^2)*SQRT(($I22-Q$15)^2+($J22-R$15)^2)))))))</f>
        <v>0</v>
      </c>
      <c r="S22">
        <f t="shared" ca="1" si="3"/>
        <v>0</v>
      </c>
      <c r="T22" s="2" t="str">
        <f t="shared" ca="1" si="4"/>
        <v/>
      </c>
      <c r="U22" s="29">
        <f ca="1">SQRT(($I22-U$15)^2+($J22-V$15)^2)</f>
        <v>17.0747302430693</v>
      </c>
      <c r="V22">
        <f ca="1">IF(U22=0,0,DEGREES(ACOS(MAX(-1, MIN(1,((Q$15-U$15)*($I22-U$15)+(R$15-V$15)*($J22-V$15))/(SQRT((Q$15-U$15)^2+(R$15-V$15)^2)*SQRT(($I22-U$15)^2+($J22-V$15)^2)))))))</f>
        <v>56.11823663944579</v>
      </c>
      <c r="W22">
        <f t="shared" ca="1" si="5"/>
        <v>56.11823663944579</v>
      </c>
      <c r="X22" s="2" t="str">
        <f t="shared" ca="1" si="6"/>
        <v/>
      </c>
      <c r="Y22" s="29">
        <f ca="1">SQRT(($I22-Y$15)^2+($J22-Z$15)^2)</f>
        <v>31.30010859421218</v>
      </c>
      <c r="Z22">
        <f ca="1">IF(Y22=0,0,DEGREES(ACOS(MAX(-1, MIN(1,((U$15-Y$15)*($I22-Y$15)+(V$15-Z$15)*($J22-Z$15))/(SQRT((U$15-Y$15)^2+(V$15-Z$15)^2)*SQRT(($I22-Y$15)^2+($J22-Z$15)^2)))))))</f>
        <v>27.442715793787478</v>
      </c>
      <c r="AA22">
        <f t="shared" ca="1" si="7"/>
        <v>27.442715793787478</v>
      </c>
      <c r="AB22" s="2" t="str">
        <f t="shared" ca="1" si="8"/>
        <v/>
      </c>
      <c r="AC22" s="29">
        <f ca="1">SQRT(($I22-AC$15)^2+($J22-AD$15)^2)</f>
        <v>31.663086779399691</v>
      </c>
      <c r="AD22">
        <f ca="1">IF(AC22=0,0,DEGREES(ACOS(MAX(-1, MIN(1,((Y$15-AC$15)*($I22-AC$15)+(Z$15-AD$15)*($J22-AD$15))/(SQRT((Y$15-AC$15)^2+(Z$15-AD$15)^2)*SQRT(($I22-AC$15)^2+($J22-AD$15)^2)))))))</f>
        <v>66.229465421475496</v>
      </c>
      <c r="AE22">
        <f t="shared" ca="1" si="9"/>
        <v>66.229465421475496</v>
      </c>
      <c r="AF22" s="2">
        <f t="shared" ca="1" si="10"/>
        <v>31.663086779399691</v>
      </c>
    </row>
    <row r="23" spans="1:32" x14ac:dyDescent="0.3">
      <c r="A23">
        <v>20</v>
      </c>
      <c r="B23">
        <f>control!$E$19*COS($A23/180*PI())+control!$B$19</f>
        <v>41.879385241571818</v>
      </c>
      <c r="C23" s="2">
        <f>control!$E$19*SIN($A23/180*PI())+control!$C$19</f>
        <v>-20.315959713348661</v>
      </c>
      <c r="H23" s="27" t="s">
        <v>78</v>
      </c>
      <c r="I23">
        <f ca="1">($J$12-L9)/(J9-$I$12)</f>
        <v>-18.936701807031998</v>
      </c>
      <c r="J23">
        <f ca="1">(J9*$J$12-$I$12*L9)/(J9-$I$12)</f>
        <v>-32.646859596950549</v>
      </c>
      <c r="K23" t="b">
        <f ca="1">(layout!I23-control!$B$19)*COS(control!$C$12/180*PI())+(layout!J23-control!$C$19)*SIN(control!$C$12/180*PI())&gt;0</f>
        <v>1</v>
      </c>
      <c r="L23" t="b">
        <f ca="1">(layout!I23-$F$14)*COS(control!$C$14/180*PI())+(layout!J23-$G$14)*SIN(control!$C$14/180*PI())&gt;0</f>
        <v>1</v>
      </c>
      <c r="M23" s="29">
        <f ca="1">SQRT(($I23-M$15)^2+($J23-N$15)^2)</f>
        <v>4.7302315724282789</v>
      </c>
      <c r="N23">
        <f ca="1">IF(M23=0,10^9,ATAN2($I23-M$15,$J23-N$15)/PI()*180)</f>
        <v>9.270775373435244</v>
      </c>
      <c r="O23">
        <f t="shared" ca="1" si="1"/>
        <v>9.270775373435244</v>
      </c>
      <c r="P23" s="2">
        <f t="shared" ca="1" si="2"/>
        <v>4.7302315724282789</v>
      </c>
      <c r="Q23" s="29">
        <f ca="1">SQRT(($I23-Q$15)^2+($J23-R$15)^2)</f>
        <v>41.167359514606282</v>
      </c>
      <c r="R23">
        <f ca="1">IF(Q23=0,0,DEGREES(ACOS(MAX(-1, MIN(1,((M$15-Q$15)*($I23-Q$15)+(N$15-R$15)*($J23-R$15))/(SQRT((M$15-Q$15)^2+(N$15-R$15)^2)*SQRT(($I23-Q$15)^2+($J23-R$15)^2)))))))</f>
        <v>8.5377364625159387E-7</v>
      </c>
      <c r="S23">
        <f t="shared" ca="1" si="3"/>
        <v>8.5377364625159387E-7</v>
      </c>
      <c r="T23" s="2" t="str">
        <f t="shared" ca="1" si="4"/>
        <v/>
      </c>
      <c r="U23" s="29">
        <f ca="1">SQRT(($I23-U$15)^2+($J23-V$15)^2)</f>
        <v>41.600229913149128</v>
      </c>
      <c r="V23">
        <f ca="1">IF(U23=0,0,DEGREES(ACOS(MAX(-1, MIN(1,((Q$15-U$15)*($I23-U$15)+(R$15-V$15)*($J23-V$15))/(SQRT((Q$15-U$15)^2+(R$15-V$15)^2)*SQRT(($I23-U$15)^2+($J23-V$15)^2)))))))</f>
        <v>80.22303381766973</v>
      </c>
      <c r="W23">
        <f t="shared" ca="1" si="5"/>
        <v>80.22303381766973</v>
      </c>
      <c r="X23" s="2" t="str">
        <f t="shared" ca="1" si="6"/>
        <v/>
      </c>
      <c r="Y23" s="29">
        <f ca="1">SQRT(($I23-Y$15)^2+($J23-Z$15)^2)</f>
        <v>23.098629506271248</v>
      </c>
      <c r="Z23">
        <f ca="1">IF(Y23=0,0,DEGREES(ACOS(MAX(-1, MIN(1,((U$15-Y$15)*($I23-Y$15)+(V$15-Z$15)*($J23-Z$15))/(SQRT((U$15-Y$15)^2+(V$15-Z$15)^2)*SQRT(($I23-Y$15)^2+($J23-Z$15)^2)))))))</f>
        <v>84.427214556130011</v>
      </c>
      <c r="AA23">
        <f t="shared" ca="1" si="7"/>
        <v>84.427214556130011</v>
      </c>
      <c r="AB23" s="2" t="str">
        <f t="shared" ca="1" si="8"/>
        <v/>
      </c>
      <c r="AC23" s="29">
        <f ca="1">SQRT(($I23-AC$15)^2+($J23-AD$15)^2)</f>
        <v>4.7302315724282789</v>
      </c>
      <c r="AD23">
        <f ca="1">IF(AC23=0,0,DEGREES(ACOS(MAX(-1, MIN(1,((Y$15-AC$15)*($I23-AC$15)+(Z$15-AD$15)*($J23-AD$15))/(SQRT((Y$15-AC$15)^2+(Z$15-AD$15)^2)*SQRT(($I23-AC$15)^2+($J23-AD$15)^2)))))))</f>
        <v>66.229465421475524</v>
      </c>
      <c r="AE23">
        <f t="shared" ca="1" si="9"/>
        <v>66.229465421475524</v>
      </c>
      <c r="AF23" s="2">
        <f t="shared" ca="1" si="10"/>
        <v>4.7302315724282789</v>
      </c>
    </row>
    <row r="24" spans="1:32" x14ac:dyDescent="0.3">
      <c r="A24">
        <v>21</v>
      </c>
      <c r="B24">
        <f>control!$E$19*COS($A24/180*PI())+control!$B$19</f>
        <v>41.867160852994402</v>
      </c>
      <c r="C24" s="2">
        <f>control!$E$19*SIN($A24/180*PI())+control!$C$19</f>
        <v>-20.283264100909399</v>
      </c>
      <c r="H24" s="27" t="s">
        <v>79</v>
      </c>
      <c r="I24">
        <f ca="1">($J$12-L10)/(J10-$I$12)</f>
        <v>-23.605147173358045</v>
      </c>
      <c r="J24">
        <f ca="1">(J10*$J$12-$I$12*L10)/(J10-$I$12)</f>
        <v>-33.408901977941376</v>
      </c>
      <c r="K24" t="b">
        <f ca="1">(layout!I24-control!$B$19)*COS(control!$C$12/180*PI())+(layout!J24-control!$C$19)*SIN(control!$C$12/180*PI())&gt;0</f>
        <v>1</v>
      </c>
      <c r="L24" t="b">
        <f ca="1">(layout!I24-$F$14)*COS(control!$C$14/180*PI())+(layout!J24-$G$14)*SIN(control!$C$14/180*PI())&gt;0</f>
        <v>1</v>
      </c>
      <c r="M24" s="29">
        <f ca="1">SQRT(($I24-M$15)^2+($J24-N$15)^2)</f>
        <v>0</v>
      </c>
      <c r="N24">
        <f ca="1">IF(M24=0,10^9,ATAN2($I24-M$15,$J24-N$15)/PI()*180)</f>
        <v>1000000000</v>
      </c>
      <c r="O24">
        <f t="shared" ca="1" si="1"/>
        <v>1000000000</v>
      </c>
      <c r="P24" s="2" t="str">
        <f t="shared" ca="1" si="2"/>
        <v/>
      </c>
      <c r="Q24" s="29">
        <f ca="1">SQRT(($I24-Q$15)^2+($J24-R$15)^2)</f>
        <v>45.897591087034556</v>
      </c>
      <c r="R24">
        <f ca="1">IF(Q24=0,0,DEGREES(ACOS(MAX(-1, MIN(1,((M$15-Q$15)*($I24-Q$15)+(N$15-R$15)*($J24-R$15))/(SQRT((M$15-Q$15)^2+(N$15-R$15)^2)*SQRT(($I24-Q$15)^2+($J24-R$15)^2)))))))</f>
        <v>0</v>
      </c>
      <c r="S24">
        <f t="shared" ca="1" si="3"/>
        <v>0</v>
      </c>
      <c r="T24" s="2" t="str">
        <f t="shared" ca="1" si="4"/>
        <v/>
      </c>
      <c r="U24" s="29">
        <f ca="1">SQRT(($I24-U$15)^2+($J24-V$15)^2)</f>
        <v>46.18539744193648</v>
      </c>
      <c r="V24">
        <f ca="1">IF(U24=0,0,DEGREES(ACOS(MAX(-1, MIN(1,((Q$15-U$15)*($I24-U$15)+(R$15-V$15)*($J24-V$15))/(SQRT((Q$15-U$15)^2+(R$15-V$15)^2)*SQRT(($I24-U$15)^2+($J24-V$15)^2)))))))</f>
        <v>81.742586547567001</v>
      </c>
      <c r="W24">
        <f t="shared" ca="1" si="5"/>
        <v>81.742586547567001</v>
      </c>
      <c r="X24" s="2" t="str">
        <f t="shared" ca="1" si="6"/>
        <v/>
      </c>
      <c r="Y24" s="29">
        <f ca="1">SQRT(($I24-Y$15)^2+($J24-Z$15)^2)</f>
        <v>24.595992317118821</v>
      </c>
      <c r="Z24">
        <f ca="1">IF(Y24=0,0,DEGREES(ACOS(MAX(-1, MIN(1,((U$15-Y$15)*($I24-Y$15)+(V$15-Z$15)*($J24-Z$15))/(SQRT((U$15-Y$15)^2+(V$15-Z$15)^2)*SQRT(($I24-Y$15)^2+($J24-Z$15)^2)))))))</f>
        <v>95.228983831653949</v>
      </c>
      <c r="AA24">
        <f t="shared" ca="1" si="7"/>
        <v>95.228983831653949</v>
      </c>
      <c r="AB24" s="2">
        <f t="shared" ca="1" si="8"/>
        <v>24.595992317118821</v>
      </c>
      <c r="AC24" s="29">
        <f ca="1">SQRT(($I24-AC$15)^2+($J24-AD$15)^2)</f>
        <v>0</v>
      </c>
      <c r="AD24">
        <f ca="1">IF(AC24=0,0,DEGREES(ACOS(MAX(-1, MIN(1,((Y$15-AC$15)*($I24-AC$15)+(Z$15-AD$15)*($J24-AD$15))/(SQRT((Y$15-AC$15)^2+(Z$15-AD$15)^2)*SQRT(($I24-AC$15)^2+($J24-AD$15)^2)))))))</f>
        <v>0</v>
      </c>
      <c r="AE24">
        <f t="shared" ca="1" si="9"/>
        <v>0</v>
      </c>
      <c r="AF24" s="2" t="str">
        <f t="shared" ca="1" si="10"/>
        <v/>
      </c>
    </row>
    <row r="25" spans="1:32" x14ac:dyDescent="0.3">
      <c r="A25">
        <v>22</v>
      </c>
      <c r="B25">
        <f>control!$E$19*COS($A25/180*PI())+control!$B$19</f>
        <v>41.854367709133577</v>
      </c>
      <c r="C25" s="2">
        <f>control!$E$19*SIN($A25/180*PI())+control!$C$19</f>
        <v>-20.250786813168176</v>
      </c>
      <c r="H25" s="10" t="s">
        <v>80</v>
      </c>
      <c r="I25">
        <f ca="1">($K$12-K7)/(I7-$I$12)</f>
        <v>20.6872413498056</v>
      </c>
      <c r="J25">
        <f ca="1">(I7*$K$12-$I$12*K7)/(I7-$I$12)</f>
        <v>-22.126001704626503</v>
      </c>
      <c r="K25" t="b">
        <f ca="1">(layout!I25-control!$B$19)*COS(control!$C$12/180*PI())+(layout!J25-control!$C$19)*SIN(control!$C$12/180*PI())&gt;0</f>
        <v>1</v>
      </c>
      <c r="L25" t="b">
        <f ca="1">(layout!I25-$F$14)*COS(control!$C$14/180*PI())+(layout!J25-$G$14)*SIN(control!$C$14/180*PI())&gt;0</f>
        <v>1</v>
      </c>
      <c r="M25" s="29">
        <f ca="1">SQRT(($I25-M$15)^2+($J25-N$15)^2)</f>
        <v>45.706887004744125</v>
      </c>
      <c r="N25">
        <f ca="1">IF(M25=0,10^9,ATAN2($I25-M$15,$J25-N$15)/PI()*180)</f>
        <v>14.291390161041129</v>
      </c>
      <c r="O25">
        <f t="shared" ca="1" si="1"/>
        <v>14.291390161041129</v>
      </c>
      <c r="P25" s="2" t="str">
        <f t="shared" ca="1" si="2"/>
        <v/>
      </c>
      <c r="Q25" s="29">
        <f ca="1">SQRT(($I25-Q$15)^2+($J25-R$15)^2)</f>
        <v>4.0167158703722006</v>
      </c>
      <c r="R25">
        <f ca="1">IF(Q25=0,0,DEGREES(ACOS(MAX(-1, MIN(1,((M$15-Q$15)*($I25-Q$15)+(N$15-R$15)*($J25-R$15))/(SQRT((M$15-Q$15)^2+(N$15-R$15)^2)*SQRT(($I25-Q$15)^2+($J25-R$15)^2)))))))</f>
        <v>84.771016168346009</v>
      </c>
      <c r="S25">
        <f t="shared" ca="1" si="3"/>
        <v>84.771016168346009</v>
      </c>
      <c r="T25" s="2">
        <f t="shared" ca="1" si="4"/>
        <v>4.0167158703722006</v>
      </c>
      <c r="U25" s="29">
        <f ca="1">SQRT(($I25-U$15)^2+($J25-V$15)^2)</f>
        <v>6.7994008208466594</v>
      </c>
      <c r="V25">
        <f ca="1">IF(U25=0,0,DEGREES(ACOS(MAX(-1, MIN(1,((Q$15-U$15)*($I25-U$15)+(R$15-V$15)*($J25-V$15))/(SQRT((Q$15-U$15)^2+(R$15-V$15)^2)*SQRT(($I25-U$15)^2+($J25-V$15)^2)))))))</f>
        <v>0</v>
      </c>
      <c r="W25">
        <f t="shared" ca="1" si="5"/>
        <v>0</v>
      </c>
      <c r="X25" s="2" t="str">
        <f t="shared" ca="1" si="6"/>
        <v/>
      </c>
      <c r="Y25" s="29">
        <f ca="1">SQRT(($I25-Y$15)^2+($J25-Z$15)^2)</f>
        <v>40.139827520258642</v>
      </c>
      <c r="Z25">
        <f ca="1">IF(Y25=0,0,DEGREES(ACOS(MAX(-1, MIN(1,((U$15-Y$15)*($I25-Y$15)+(V$15-Z$15)*($J25-Z$15))/(SQRT((U$15-Y$15)^2+(V$15-Z$15)^2)*SQRT(($I25-Y$15)^2+($J25-Z$15)^2)))))))</f>
        <v>8.9181176041143555</v>
      </c>
      <c r="AA25">
        <f t="shared" ca="1" si="7"/>
        <v>8.9181176041143555</v>
      </c>
      <c r="AB25" s="2" t="str">
        <f t="shared" ca="1" si="8"/>
        <v/>
      </c>
      <c r="AC25" s="29">
        <f ca="1">SQRT(($I25-AC$15)^2+($J25-AD$15)^2)</f>
        <v>45.706887004744125</v>
      </c>
      <c r="AD25">
        <f ca="1">IF(AC25=0,0,DEGREES(ACOS(MAX(-1, MIN(1,((Y$15-AC$15)*($I25-AC$15)+(Z$15-AD$15)*($J25-AD$15))/(SQRT((Y$15-AC$15)^2+(Z$15-AD$15)^2)*SQRT(($I25-AC$15)^2+($J25-AD$15)^2)))))))</f>
        <v>61.208850633869652</v>
      </c>
      <c r="AE25">
        <f t="shared" ca="1" si="9"/>
        <v>61.208850633869652</v>
      </c>
      <c r="AF25" s="2" t="str">
        <f t="shared" ca="1" si="10"/>
        <v/>
      </c>
    </row>
    <row r="26" spans="1:32" x14ac:dyDescent="0.3">
      <c r="A26">
        <v>23</v>
      </c>
      <c r="B26">
        <f>control!$E$19*COS($A26/180*PI())+control!$B$19</f>
        <v>41.841009706904877</v>
      </c>
      <c r="C26" s="2">
        <f>control!$E$19*SIN($A26/180*PI())+control!$C$19</f>
        <v>-20.218537743021454</v>
      </c>
      <c r="H26" s="10" t="s">
        <v>82</v>
      </c>
      <c r="I26">
        <f ca="1">($K$12-K8)/(I8-$I$12)</f>
        <v>16.396979594786426</v>
      </c>
      <c r="J26">
        <f ca="1">(I8*$K$12-$I$12*K8)/(I8-$I$12)</f>
        <v>-22.826312199090236</v>
      </c>
      <c r="K26" t="b">
        <f ca="1">(layout!I26-control!$B$19)*COS(control!$C$12/180*PI())+(layout!J26-control!$C$19)*SIN(control!$C$12/180*PI())&gt;0</f>
        <v>1</v>
      </c>
      <c r="L26" t="b">
        <f ca="1">(layout!I26-$F$14)*COS(control!$C$14/180*PI())+(layout!J26-$G$14)*SIN(control!$C$14/180*PI())&gt;0</f>
        <v>1</v>
      </c>
      <c r="M26" s="29">
        <f ca="1">SQRT(($I26-M$15)^2+($J26-N$15)^2)</f>
        <v>41.378271500899423</v>
      </c>
      <c r="N26">
        <f ca="1">IF(M26=0,10^9,ATAN2($I26-M$15,$J26-N$15)/PI()*180)</f>
        <v>14.818169418305727</v>
      </c>
      <c r="O26">
        <f t="shared" ca="1" si="1"/>
        <v>14.818169418305727</v>
      </c>
      <c r="P26" s="2" t="str">
        <f t="shared" ca="1" si="2"/>
        <v/>
      </c>
      <c r="Q26" s="29">
        <f ca="1">SQRT(($I26-Q$15)^2+($J26-R$15)^2)</f>
        <v>6.1817004739695527</v>
      </c>
      <c r="R26">
        <f ca="1">IF(Q26=0,0,DEGREES(ACOS(MAX(-1, MIN(1,((M$15-Q$15)*($I26-Q$15)+(N$15-R$15)*($J26-R$15))/(SQRT((M$15-Q$15)^2+(N$15-R$15)^2)*SQRT(($I26-Q$15)^2+($J26-R$15)^2)))))))</f>
        <v>40.321140963648766</v>
      </c>
      <c r="S26">
        <f t="shared" ca="1" si="3"/>
        <v>40.321140963648766</v>
      </c>
      <c r="T26" s="2" t="str">
        <f t="shared" ca="1" si="4"/>
        <v/>
      </c>
      <c r="U26" s="29">
        <f ca="1">SQRT(($I26-U$15)^2+($J26-V$15)^2)</f>
        <v>7.7292396717415857</v>
      </c>
      <c r="V26">
        <f ca="1">IF(U26=0,0,DEGREES(ACOS(MAX(-1, MIN(1,((Q$15-U$15)*($I26-U$15)+(R$15-V$15)*($J26-V$15))/(SQRT((Q$15-U$15)^2+(R$15-V$15)^2)*SQRT(($I26-U$15)^2+($J26-V$15)^2)))))))</f>
        <v>34.060969394696606</v>
      </c>
      <c r="W26">
        <f t="shared" ca="1" si="5"/>
        <v>34.060969394696606</v>
      </c>
      <c r="X26" s="2" t="str">
        <f t="shared" ca="1" si="6"/>
        <v/>
      </c>
      <c r="Y26" s="29">
        <f ca="1">SQRT(($I26-Y$15)^2+($J26-Z$15)^2)</f>
        <v>36.337872045116832</v>
      </c>
      <c r="Z26">
        <f ca="1">IF(Y26=0,0,DEGREES(ACOS(MAX(-1, MIN(1,((U$15-Y$15)*($I26-Y$15)+(V$15-Z$15)*($J26-Z$15))/(SQRT((U$15-Y$15)^2+(V$15-Z$15)^2)*SQRT(($I26-Y$15)^2+($J26-Z$15)^2)))))))</f>
        <v>12.080361725378829</v>
      </c>
      <c r="AA26">
        <f t="shared" ca="1" si="7"/>
        <v>12.080361725378829</v>
      </c>
      <c r="AB26" s="2" t="str">
        <f t="shared" ca="1" si="8"/>
        <v/>
      </c>
      <c r="AC26" s="29">
        <f ca="1">SQRT(($I26-AC$15)^2+($J26-AD$15)^2)</f>
        <v>41.378271500899423</v>
      </c>
      <c r="AD26">
        <f ca="1">IF(AC26=0,0,DEGREES(ACOS(MAX(-1, MIN(1,((Y$15-AC$15)*($I26-AC$15)+(Z$15-AD$15)*($J26-AD$15))/(SQRT((Y$15-AC$15)^2+(Z$15-AD$15)^2)*SQRT(($I26-AC$15)^2+($J26-AD$15)^2)))))))</f>
        <v>60.682071376605052</v>
      </c>
      <c r="AE26">
        <f t="shared" ca="1" si="9"/>
        <v>60.682071376605052</v>
      </c>
      <c r="AF26" s="2" t="str">
        <f t="shared" ca="1" si="10"/>
        <v/>
      </c>
    </row>
    <row r="27" spans="1:32" x14ac:dyDescent="0.3">
      <c r="A27">
        <v>24</v>
      </c>
      <c r="B27">
        <f>control!$E$19*COS($A27/180*PI())+control!$B$19</f>
        <v>41.827090915285204</v>
      </c>
      <c r="C27" s="2">
        <f>control!$E$19*SIN($A27/180*PI())+control!$C$19</f>
        <v>-20.186526713848401</v>
      </c>
      <c r="H27" s="10" t="s">
        <v>83</v>
      </c>
      <c r="I27">
        <f ca="1">($K$12-K9)/(I9-$I$12)</f>
        <v>-8.0307882382841669</v>
      </c>
      <c r="J27">
        <f ca="1">(I9*$K$12-$I$12*K9)/(I9-$I$12)</f>
        <v>-26.813719762232374</v>
      </c>
      <c r="K27" t="b">
        <f ca="1">(layout!I27-control!$B$19)*COS(control!$C$12/180*PI())+(layout!J27-control!$C$19)*SIN(control!$C$12/180*PI())&gt;0</f>
        <v>1</v>
      </c>
      <c r="L27" t="b">
        <f ca="1">(layout!I27-$F$14)*COS(control!$C$14/180*PI())+(layout!J27-$G$14)*SIN(control!$C$14/180*PI())&gt;0</f>
        <v>1</v>
      </c>
      <c r="M27" s="29">
        <f ca="1">SQRT(($I27-M$15)^2+($J27-N$15)^2)</f>
        <v>16.91322218552455</v>
      </c>
      <c r="N27">
        <f ca="1">IF(M27=0,10^9,ATAN2($I27-M$15,$J27-N$15)/PI()*180)</f>
        <v>22.950914544571479</v>
      </c>
      <c r="O27">
        <f t="shared" ca="1" si="1"/>
        <v>22.950914544571479</v>
      </c>
      <c r="P27" s="2" t="str">
        <f t="shared" ca="1" si="2"/>
        <v/>
      </c>
      <c r="Q27" s="29">
        <f ca="1">SQRT(($I27-Q$15)^2+($J27-R$15)^2)</f>
        <v>29.734453940433735</v>
      </c>
      <c r="R27">
        <f ca="1">IF(Q27=0,0,DEGREES(ACOS(MAX(-1, MIN(1,((M$15-Q$15)*($I27-Q$15)+(N$15-R$15)*($J27-R$15))/(SQRT((M$15-Q$15)^2+(N$15-R$15)^2)*SQRT(($I27-Q$15)^2+($J27-R$15)^2)))))))</f>
        <v>7.7311005322587283</v>
      </c>
      <c r="S27">
        <f t="shared" ca="1" si="3"/>
        <v>7.7311005322587283</v>
      </c>
      <c r="T27" s="2" t="str">
        <f t="shared" ca="1" si="4"/>
        <v/>
      </c>
      <c r="U27" s="29">
        <f ca="1">SQRT(($I27-U$15)^2+($J27-V$15)^2)</f>
        <v>29.272327818381779</v>
      </c>
      <c r="V27">
        <f ca="1">IF(U27=0,0,DEGREES(ACOS(MAX(-1, MIN(1,((Q$15-U$15)*($I27-U$15)+(R$15-V$15)*($J27-V$15))/(SQRT((Q$15-U$15)^2+(R$15-V$15)^2)*SQRT(($I27-U$15)^2+($J27-V$15)^2)))))))</f>
        <v>81.854528291413587</v>
      </c>
      <c r="W27">
        <f t="shared" ca="1" si="5"/>
        <v>81.854528291413587</v>
      </c>
      <c r="X27" s="2" t="str">
        <f t="shared" ca="1" si="6"/>
        <v/>
      </c>
      <c r="Y27" s="29">
        <f ca="1">SQRT(($I27-Y$15)^2+($J27-Z$15)^2)</f>
        <v>19.624013872207033</v>
      </c>
      <c r="Z27">
        <f ca="1">IF(Y27=0,0,DEGREES(ACOS(MAX(-1, MIN(1,((U$15-Y$15)*($I27-Y$15)+(V$15-Z$15)*($J27-Z$15))/(SQRT((U$15-Y$15)^2+(V$15-Z$15)^2)*SQRT(($I27-Y$15)^2+($J27-Z$15)^2)))))))</f>
        <v>52.055178638019967</v>
      </c>
      <c r="AA27">
        <f t="shared" ca="1" si="7"/>
        <v>52.055178638019967</v>
      </c>
      <c r="AB27" s="2" t="str">
        <f t="shared" ca="1" si="8"/>
        <v/>
      </c>
      <c r="AC27" s="29">
        <f ca="1">SQRT(($I27-AC$15)^2+($J27-AD$15)^2)</f>
        <v>16.91322218552455</v>
      </c>
      <c r="AD27">
        <f ca="1">IF(AC27=0,0,DEGREES(ACOS(MAX(-1, MIN(1,((Y$15-AC$15)*($I27-AC$15)+(Z$15-AD$15)*($J27-AD$15))/(SQRT((Y$15-AC$15)^2+(Z$15-AD$15)^2)*SQRT(($I27-AC$15)^2+($J27-AD$15)^2)))))))</f>
        <v>52.549326250339305</v>
      </c>
      <c r="AE27">
        <f t="shared" ca="1" si="9"/>
        <v>52.549326250339305</v>
      </c>
      <c r="AF27" s="2" t="str">
        <f t="shared" ca="1" si="10"/>
        <v/>
      </c>
    </row>
    <row r="28" spans="1:32" x14ac:dyDescent="0.3">
      <c r="A28">
        <v>25</v>
      </c>
      <c r="B28">
        <f>control!$E$19*COS($A28/180*PI())+control!$B$19</f>
        <v>41.812615574073298</v>
      </c>
      <c r="C28" s="2">
        <f>control!$E$19*SIN($A28/180*PI())+control!$C$19</f>
        <v>-20.1547634765186</v>
      </c>
      <c r="H28" s="10" t="s">
        <v>84</v>
      </c>
      <c r="I28">
        <f ca="1">($K$12-K10)/(I10-$I$12)</f>
        <v>-3.7405264832649912</v>
      </c>
      <c r="J28">
        <f ca="1">(I10*$K$12-$I$12*K10)/(I10-$I$12)</f>
        <v>-26.113409267768642</v>
      </c>
      <c r="K28" t="b">
        <f ca="1">(layout!I28-control!$B$19)*COS(control!$C$12/180*PI())+(layout!J28-control!$C$19)*SIN(control!$C$12/180*PI())&gt;0</f>
        <v>1</v>
      </c>
      <c r="L28" t="b">
        <f ca="1">(layout!I28-$F$14)*COS(control!$C$14/180*PI())+(layout!J28-$G$14)*SIN(control!$C$14/180*PI())&gt;0</f>
        <v>1</v>
      </c>
      <c r="M28" s="29">
        <f ca="1">SQRT(($I28-M$15)^2+($J28-N$15)^2)</f>
        <v>21.161932072602838</v>
      </c>
      <c r="N28">
        <f ca="1">IF(M28=0,10^9,ATAN2($I28-M$15,$J28-N$15)/PI()*180)</f>
        <v>20.166295118288765</v>
      </c>
      <c r="O28">
        <f t="shared" ca="1" si="1"/>
        <v>20.166295118288765</v>
      </c>
      <c r="P28" s="2" t="str">
        <f t="shared" ca="1" si="2"/>
        <v/>
      </c>
      <c r="Q28" s="29">
        <f ca="1">SQRT(($I28-Q$15)^2+($J28-R$15)^2)</f>
        <v>25.433648064236358</v>
      </c>
      <c r="R28">
        <f ca="1">IF(Q28=0,0,DEGREES(ACOS(MAX(-1, MIN(1,((M$15-Q$15)*($I28-Q$15)+(N$15-R$15)*($J28-R$15))/(SQRT((M$15-Q$15)^2+(N$15-R$15)^2)*SQRT(($I28-Q$15)^2+($J28-R$15)^2)))))))</f>
        <v>9.0485870609648416</v>
      </c>
      <c r="S28">
        <f t="shared" ca="1" si="3"/>
        <v>9.0485870609648416</v>
      </c>
      <c r="T28" s="2" t="str">
        <f t="shared" ca="1" si="4"/>
        <v/>
      </c>
      <c r="U28" s="29">
        <f ca="1">SQRT(($I28-U$15)^2+($J28-V$15)^2)</f>
        <v>25.063359683257715</v>
      </c>
      <c r="V28">
        <f ca="1">IF(U28=0,0,DEGREES(ACOS(MAX(-1, MIN(1,((Q$15-U$15)*($I28-U$15)+(R$15-V$15)*($J28-V$15))/(SQRT((Q$15-U$15)^2+(R$15-V$15)^2)*SQRT(($I28-U$15)^2+($J28-V$15)^2)))))))</f>
        <v>79.5552258833049</v>
      </c>
      <c r="W28">
        <f t="shared" ca="1" si="5"/>
        <v>79.5552258833049</v>
      </c>
      <c r="X28" s="2" t="str">
        <f t="shared" ca="1" si="6"/>
        <v/>
      </c>
      <c r="Y28" s="29">
        <f ca="1">SQRT(($I28-Y$15)^2+($J28-Z$15)^2)</f>
        <v>21.463430437179383</v>
      </c>
      <c r="Z28">
        <f ca="1">IF(Y28=0,0,DEGREES(ACOS(MAX(-1, MIN(1,((U$15-Y$15)*($I28-Y$15)+(V$15-Z$15)*($J28-Z$15))/(SQRT((U$15-Y$15)^2+(V$15-Z$15)^2)*SQRT(($I28-Y$15)^2+($J28-Z$15)^2)))))))</f>
        <v>41.042312238022269</v>
      </c>
      <c r="AA28">
        <f t="shared" ca="1" si="7"/>
        <v>41.042312238022269</v>
      </c>
      <c r="AB28" s="2" t="str">
        <f t="shared" ca="1" si="8"/>
        <v/>
      </c>
      <c r="AC28" s="29">
        <f ca="1">SQRT(($I28-AC$15)^2+($J28-AD$15)^2)</f>
        <v>21.161932072602838</v>
      </c>
      <c r="AD28">
        <f ca="1">IF(AC28=0,0,DEGREES(ACOS(MAX(-1, MIN(1,((Y$15-AC$15)*($I28-AC$15)+(Z$15-AD$15)*($J28-AD$15))/(SQRT((Y$15-AC$15)^2+(Z$15-AD$15)^2)*SQRT(($I28-AC$15)^2+($J28-AD$15)^2)))))))</f>
        <v>55.333945676622022</v>
      </c>
      <c r="AE28">
        <f t="shared" ca="1" si="9"/>
        <v>55.333945676622022</v>
      </c>
      <c r="AF28" s="2" t="str">
        <f t="shared" ca="1" si="10"/>
        <v/>
      </c>
    </row>
    <row r="29" spans="1:32" x14ac:dyDescent="0.3">
      <c r="A29">
        <v>26</v>
      </c>
      <c r="B29">
        <f>control!$E$19*COS($A29/180*PI())+control!$B$19</f>
        <v>41.797588092598332</v>
      </c>
      <c r="C29" s="2">
        <f>control!$E$19*SIN($A29/180*PI())+control!$C$19</f>
        <v>-20.123257706421846</v>
      </c>
      <c r="H29" s="10" t="s">
        <v>81</v>
      </c>
      <c r="I29">
        <f ca="1">($K$12-L7)/(J7-$I$12)</f>
        <v>4.0702513099553927</v>
      </c>
      <c r="J29">
        <f ca="1">(J7*$K$12-$I$12*L7)/(J7-$I$12)</f>
        <v>-24.838435858018713</v>
      </c>
      <c r="K29" t="b">
        <f ca="1">(layout!I29-control!$B$19)*COS(control!$C$12/180*PI())+(layout!J29-control!$C$19)*SIN(control!$C$12/180*PI())&gt;0</f>
        <v>1</v>
      </c>
      <c r="L29" t="b">
        <f ca="1">(layout!I29-$F$14)*COS(control!$C$14/180*PI())+(layout!J29-$G$14)*SIN(control!$C$14/180*PI())&gt;0</f>
        <v>1</v>
      </c>
      <c r="M29" s="29">
        <f ca="1">SQRT(($I29-M$15)^2+($J29-N$15)^2)</f>
        <v>28.972065351350597</v>
      </c>
      <c r="N29">
        <f ca="1">IF(M29=0,10^9,ATAN2($I29-M$15,$J29-N$15)/PI()*180)</f>
        <v>17.206610630965049</v>
      </c>
      <c r="O29">
        <f t="shared" ca="1" si="1"/>
        <v>17.206610630965049</v>
      </c>
      <c r="P29" s="2" t="str">
        <f t="shared" ca="1" si="2"/>
        <v/>
      </c>
      <c r="Q29" s="29">
        <f ca="1">SQRT(($I29-Q$15)^2+($J29-R$15)^2)</f>
        <v>17.661896886903921</v>
      </c>
      <c r="R29">
        <f ca="1">IF(Q29=0,0,DEGREES(ACOS(MAX(-1, MIN(1,((M$15-Q$15)*($I29-Q$15)+(N$15-R$15)*($J29-R$15))/(SQRT((M$15-Q$15)^2+(N$15-R$15)^2)*SQRT(($I29-Q$15)^2+($J29-R$15)^2)))))))</f>
        <v>13.089701583933619</v>
      </c>
      <c r="S29">
        <f t="shared" ca="1" si="3"/>
        <v>13.089701583933619</v>
      </c>
      <c r="T29" s="2" t="str">
        <f t="shared" ca="1" si="4"/>
        <v/>
      </c>
      <c r="U29" s="29">
        <f ca="1">SQRT(($I29-U$15)^2+($J29-V$15)^2)</f>
        <v>17.574036574086616</v>
      </c>
      <c r="V29">
        <f ca="1">IF(U29=0,0,DEGREES(ACOS(MAX(-1, MIN(1,((Q$15-U$15)*($I29-U$15)+(R$15-V$15)*($J29-V$15))/(SQRT((Q$15-U$15)^2+(R$15-V$15)^2)*SQRT(($I29-U$15)^2+($J29-V$15)^2)))))))</f>
        <v>72.567224554467245</v>
      </c>
      <c r="W29">
        <f t="shared" ca="1" si="5"/>
        <v>72.567224554467245</v>
      </c>
      <c r="X29" s="2" t="str">
        <f t="shared" ca="1" si="6"/>
        <v/>
      </c>
      <c r="Y29" s="29">
        <f ca="1">SQRT(($I29-Y$15)^2+($J29-Z$15)^2)</f>
        <v>26.368729221365086</v>
      </c>
      <c r="Z29">
        <f ca="1">IF(Y29=0,0,DEGREES(ACOS(MAX(-1, MIN(1,((U$15-Y$15)*($I29-Y$15)+(V$15-Z$15)*($J29-Z$15))/(SQRT((U$15-Y$15)^2+(V$15-Z$15)^2)*SQRT(($I29-Y$15)^2+($J29-Z$15)^2)))))))</f>
        <v>26.041846517239478</v>
      </c>
      <c r="AA29">
        <f t="shared" ca="1" si="7"/>
        <v>26.041846517239478</v>
      </c>
      <c r="AB29" s="2" t="str">
        <f t="shared" ca="1" si="8"/>
        <v/>
      </c>
      <c r="AC29" s="29">
        <f ca="1">SQRT(($I29-AC$15)^2+($J29-AD$15)^2)</f>
        <v>28.972065351350597</v>
      </c>
      <c r="AD29">
        <f ca="1">IF(AC29=0,0,DEGREES(ACOS(MAX(-1, MIN(1,((Y$15-AC$15)*($I29-AC$15)+(Z$15-AD$15)*($J29-AD$15))/(SQRT((Y$15-AC$15)^2+(Z$15-AD$15)^2)*SQRT(($I29-AC$15)^2+($J29-AD$15)^2)))))))</f>
        <v>58.293630163945728</v>
      </c>
      <c r="AE29">
        <f t="shared" ca="1" si="9"/>
        <v>58.293630163945728</v>
      </c>
      <c r="AF29" s="2" t="str">
        <f t="shared" ca="1" si="10"/>
        <v/>
      </c>
    </row>
    <row r="30" spans="1:32" x14ac:dyDescent="0.3">
      <c r="A30">
        <v>27</v>
      </c>
      <c r="B30">
        <f>control!$E$19*COS($A30/180*PI())+control!$B$19</f>
        <v>41.782013048376733</v>
      </c>
      <c r="C30" s="2">
        <f>control!$E$19*SIN($A30/180*PI())+control!$C$19</f>
        <v>-20.092019000520907</v>
      </c>
      <c r="H30" s="10" t="s">
        <v>93</v>
      </c>
      <c r="I30">
        <f ca="1">($K$12-L8)/(J8-$I$12)</f>
        <v>8.7386966762814406</v>
      </c>
      <c r="J30">
        <f ca="1">(J8*$K$12-$I$12*L8)/(J8-$I$12)</f>
        <v>-24.076393477027882</v>
      </c>
      <c r="K30" t="b">
        <f ca="1">(layout!I30-control!$B$19)*COS(control!$C$12/180*PI())+(layout!J30-control!$C$19)*SIN(control!$C$12/180*PI())&gt;0</f>
        <v>1</v>
      </c>
      <c r="L30" t="b">
        <f ca="1">(layout!I30-$F$14)*COS(control!$C$14/180*PI())+(layout!J30-$G$14)*SIN(control!$C$14/180*PI())&gt;0</f>
        <v>1</v>
      </c>
      <c r="M30" s="29">
        <f ca="1">SQRT(($I30-M$15)^2+($J30-N$15)^2)</f>
        <v>33.663332424011209</v>
      </c>
      <c r="N30">
        <f ca="1">IF(M30=0,10^9,ATAN2($I30-M$15,$J30-N$15)/PI()*180)</f>
        <v>16.09499227278555</v>
      </c>
      <c r="O30">
        <f t="shared" ca="1" si="1"/>
        <v>16.09499227278555</v>
      </c>
      <c r="P30" s="2" t="str">
        <f t="shared" ca="1" si="2"/>
        <v/>
      </c>
      <c r="Q30" s="29">
        <f ca="1">SQRT(($I30-Q$15)^2+($J30-R$15)^2)</f>
        <v>13.098454561267662</v>
      </c>
      <c r="R30">
        <f ca="1">IF(Q30=0,0,DEGREES(ACOS(MAX(-1, MIN(1,((M$15-Q$15)*($I30-Q$15)+(N$15-R$15)*($J30-R$15))/(SQRT((M$15-Q$15)^2+(N$15-R$15)^2)*SQRT(($I30-Q$15)^2+($J30-R$15)^2)))))))</f>
        <v>17.780999260920982</v>
      </c>
      <c r="S30">
        <f t="shared" ca="1" si="3"/>
        <v>17.780999260920982</v>
      </c>
      <c r="T30" s="2" t="str">
        <f t="shared" ca="1" si="4"/>
        <v/>
      </c>
      <c r="U30" s="29">
        <f ca="1">SQRT(($I30-U$15)^2+($J30-V$15)^2)</f>
        <v>13.334138213710169</v>
      </c>
      <c r="V30">
        <f ca="1">IF(U30=0,0,DEGREES(ACOS(MAX(-1, MIN(1,((Q$15-U$15)*($I30-U$15)+(R$15-V$15)*($J30-V$15))/(SQRT((Q$15-U$15)^2+(R$15-V$15)^2)*SQRT(($I30-U$15)^2+($J30-V$15)^2)))))))</f>
        <v>64.711438497240437</v>
      </c>
      <c r="W30">
        <f t="shared" ca="1" si="5"/>
        <v>64.711438497240437</v>
      </c>
      <c r="X30" s="2" t="str">
        <f t="shared" ca="1" si="6"/>
        <v/>
      </c>
      <c r="Y30" s="29">
        <f ca="1">SQRT(($I30-Y$15)^2+($J30-Z$15)^2)</f>
        <v>29.922533585771887</v>
      </c>
      <c r="Z30">
        <f ca="1">IF(Y30=0,0,DEGREES(ACOS(MAX(-1, MIN(1,((U$15-Y$15)*($I30-Y$15)+(V$15-Z$15)*($J30-Z$15))/(SQRT((U$15-Y$15)^2+(V$15-Z$15)^2)*SQRT(($I30-Y$15)^2+($J30-Z$15)^2)))))))</f>
        <v>19.670868170684564</v>
      </c>
      <c r="AA30">
        <f t="shared" ca="1" si="7"/>
        <v>19.670868170684564</v>
      </c>
      <c r="AB30" s="2" t="str">
        <f t="shared" ca="1" si="8"/>
        <v/>
      </c>
      <c r="AC30" s="29">
        <f ca="1">SQRT(($I30-AC$15)^2+($J30-AD$15)^2)</f>
        <v>33.663332424011209</v>
      </c>
      <c r="AD30">
        <f ca="1">IF(AC30=0,0,DEGREES(ACOS(MAX(-1, MIN(1,((Y$15-AC$15)*($I30-AC$15)+(Z$15-AD$15)*($J30-AD$15))/(SQRT((Y$15-AC$15)^2+(Z$15-AD$15)^2)*SQRT(($I30-AC$15)^2+($J30-AD$15)^2)))))))</f>
        <v>59.40524852212522</v>
      </c>
      <c r="AE30">
        <f t="shared" ca="1" si="9"/>
        <v>59.40524852212522</v>
      </c>
      <c r="AF30" s="2" t="str">
        <f t="shared" ca="1" si="10"/>
        <v/>
      </c>
    </row>
    <row r="31" spans="1:32" x14ac:dyDescent="0.3">
      <c r="A31">
        <v>28</v>
      </c>
      <c r="B31">
        <f>control!$E$19*COS($A31/180*PI())+control!$B$19</f>
        <v>41.765895185717852</v>
      </c>
      <c r="C31" s="2">
        <f>control!$E$19*SIN($A31/180*PI())+control!$C$19</f>
        <v>-20.061056874428218</v>
      </c>
      <c r="H31" s="10" t="s">
        <v>94</v>
      </c>
      <c r="I31">
        <f ca="1">($K$12-L9)/(J9-$I$12)</f>
        <v>-17.842362024058211</v>
      </c>
      <c r="J31">
        <f ca="1">(J9*$K$12-$I$12*L9)/(J9-$I$12)</f>
        <v>-28.415288263581797</v>
      </c>
      <c r="K31" t="b">
        <f ca="1">(layout!I31-control!$B$19)*COS(control!$C$12/180*PI())+(layout!J31-control!$C$19)*SIN(control!$C$12/180*PI())&gt;0</f>
        <v>1</v>
      </c>
      <c r="L31" t="b">
        <f ca="1">(layout!I31-$F$14)*COS(control!$C$14/180*PI())+(layout!J31-$G$14)*SIN(control!$C$14/180*PI())&gt;0</f>
        <v>1</v>
      </c>
      <c r="M31" s="29">
        <f ca="1">SQRT(($I31-M$15)^2+($J31-N$15)^2)</f>
        <v>7.625343966355274</v>
      </c>
      <c r="N31">
        <f ca="1">IF(M31=0,10^9,ATAN2($I31-M$15,$J31-N$15)/PI()*180)</f>
        <v>40.909840241546341</v>
      </c>
      <c r="O31">
        <f t="shared" ca="1" si="1"/>
        <v>40.909840241546341</v>
      </c>
      <c r="P31" s="2" t="str">
        <f t="shared" ca="1" si="2"/>
        <v/>
      </c>
      <c r="Q31" s="29">
        <f ca="1">SQRT(($I31-Q$15)^2+($J31-R$15)^2)</f>
        <v>39.608102489277456</v>
      </c>
      <c r="R31">
        <f ca="1">IF(Q31=0,0,DEGREES(ACOS(MAX(-1, MIN(1,((M$15-Q$15)*($I31-Q$15)+(N$15-R$15)*($J31-R$15))/(SQRT((M$15-Q$15)^2+(N$15-R$15)^2)*SQRT(($I31-Q$15)^2+($J31-R$15)^2)))))))</f>
        <v>5.7961495370371638</v>
      </c>
      <c r="S31">
        <f t="shared" ca="1" si="3"/>
        <v>5.7961495370371638</v>
      </c>
      <c r="T31" s="2" t="str">
        <f t="shared" ca="1" si="4"/>
        <v/>
      </c>
      <c r="U31" s="29">
        <f ca="1">SQRT(($I31-U$15)^2+($J31-V$15)^2)</f>
        <v>39.011970627518323</v>
      </c>
      <c r="V31">
        <f ca="1">IF(U31=0,0,DEGREES(ACOS(MAX(-1, MIN(1,((Q$15-U$15)*($I31-U$15)+(R$15-V$15)*($J31-V$15))/(SQRT((Q$15-U$15)^2+(R$15-V$15)^2)*SQRT(($I31-U$15)^2+($J31-V$15)^2)))))))</f>
        <v>85.233835105312224</v>
      </c>
      <c r="W31">
        <f t="shared" ca="1" si="5"/>
        <v>85.233835105312224</v>
      </c>
      <c r="X31" s="2" t="str">
        <f t="shared" ca="1" si="6"/>
        <v/>
      </c>
      <c r="Y31" s="29">
        <f ca="1">SQRT(($I31-Y$15)^2+($J31-Z$15)^2)</f>
        <v>18.823118701131882</v>
      </c>
      <c r="Z31">
        <f ca="1">IF(Y31=0,0,DEGREES(ACOS(MAX(-1, MIN(1,((U$15-Y$15)*($I31-Y$15)+(V$15-Z$15)*($J31-Z$15))/(SQRT((U$15-Y$15)^2+(V$15-Z$15)^2)*SQRT(($I31-Y$15)^2+($J31-Z$15)^2)))))))</f>
        <v>81.933054017003542</v>
      </c>
      <c r="AA31">
        <f t="shared" ca="1" si="7"/>
        <v>81.933054017003542</v>
      </c>
      <c r="AB31" s="2" t="str">
        <f t="shared" ca="1" si="8"/>
        <v/>
      </c>
      <c r="AC31" s="29">
        <f ca="1">SQRT(($I31-AC$15)^2+($J31-AD$15)^2)</f>
        <v>7.625343966355274</v>
      </c>
      <c r="AD31">
        <f ca="1">IF(AC31=0,0,DEGREES(ACOS(MAX(-1, MIN(1,((Y$15-AC$15)*($I31-AC$15)+(Z$15-AD$15)*($J31-AD$15))/(SQRT((Y$15-AC$15)^2+(Z$15-AD$15)^2)*SQRT(($I31-AC$15)^2+($J31-AD$15)^2)))))))</f>
        <v>34.590400553364425</v>
      </c>
      <c r="AE31">
        <f t="shared" ca="1" si="9"/>
        <v>34.590400553364425</v>
      </c>
      <c r="AF31" s="2" t="str">
        <f t="shared" ca="1" si="10"/>
        <v/>
      </c>
    </row>
    <row r="32" spans="1:32" x14ac:dyDescent="0.3">
      <c r="A32">
        <v>29</v>
      </c>
      <c r="B32">
        <f>control!$E$19*COS($A32/180*PI())+control!$B$19</f>
        <v>41.74923941427879</v>
      </c>
      <c r="C32" s="2">
        <f>control!$E$19*SIN($A32/180*PI())+control!$C$19</f>
        <v>-20.030380759507327</v>
      </c>
      <c r="H32" s="10" t="s">
        <v>95</v>
      </c>
      <c r="I32">
        <f ca="1">($K$12-L10)/(J10-$I$12)</f>
        <v>-22.510807390384262</v>
      </c>
      <c r="J32">
        <f ca="1">(J10*$K$12-$I$12*L10)/(J10-$I$12)</f>
        <v>-29.177330644572628</v>
      </c>
      <c r="K32" t="b">
        <f ca="1">(layout!I32-control!$B$19)*COS(control!$C$12/180*PI())+(layout!J32-control!$C$19)*SIN(control!$C$12/180*PI())&gt;0</f>
        <v>1</v>
      </c>
      <c r="L32" t="b">
        <f ca="1">(layout!I32-$F$14)*COS(control!$C$14/180*PI())+(layout!J32-$G$14)*SIN(control!$C$14/180*PI())&gt;0</f>
        <v>1</v>
      </c>
      <c r="M32" s="29">
        <f ca="1">SQRT(($I32-M$15)^2+($J32-N$15)^2)</f>
        <v>4.3707866008291081</v>
      </c>
      <c r="N32">
        <f ca="1">IF(M32=0,10^9,ATAN2($I32-M$15,$J32-N$15)/PI()*180)</f>
        <v>75.500240794910795</v>
      </c>
      <c r="O32">
        <f t="shared" ca="1" si="1"/>
        <v>75.500240794910795</v>
      </c>
      <c r="P32" s="2" t="str">
        <f t="shared" ca="1" si="2"/>
        <v/>
      </c>
      <c r="Q32" s="29">
        <f ca="1">SQRT(($I32-Q$15)^2+($J32-R$15)^2)</f>
        <v>44.316725472697669</v>
      </c>
      <c r="R32">
        <f ca="1">IF(Q32=0,0,DEGREES(ACOS(MAX(-1, MIN(1,((M$15-Q$15)*($I32-Q$15)+(N$15-R$15)*($J32-R$15))/(SQRT((M$15-Q$15)^2+(N$15-R$15)^2)*SQRT(($I32-Q$15)^2+($J32-R$15)^2)))))))</f>
        <v>5.1785289886865318</v>
      </c>
      <c r="S32">
        <f t="shared" ca="1" si="3"/>
        <v>5.1785289886865318</v>
      </c>
      <c r="T32" s="2" t="str">
        <f t="shared" ca="1" si="4"/>
        <v/>
      </c>
      <c r="U32" s="29">
        <f ca="1">SQRT(($I32-U$15)^2+($J32-V$15)^2)</f>
        <v>43.678125599877468</v>
      </c>
      <c r="V32">
        <f ca="1">IF(U32=0,0,DEGREES(ACOS(MAX(-1, MIN(1,((Q$15-U$15)*($I32-U$15)+(R$15-V$15)*($J32-V$15))/(SQRT((Q$15-U$15)^2+(R$15-V$15)^2)*SQRT(($I32-U$15)^2+($J32-V$15)^2)))))))</f>
        <v>86.310866227539606</v>
      </c>
      <c r="W32">
        <f t="shared" ca="1" si="5"/>
        <v>86.310866227539606</v>
      </c>
      <c r="X32" s="2" t="str">
        <f t="shared" ca="1" si="6"/>
        <v/>
      </c>
      <c r="Y32" s="29">
        <f ca="1">SQRT(($I32-Y$15)^2+($J32-Z$15)^2)</f>
        <v>20.225205716289715</v>
      </c>
      <c r="Z32">
        <f ca="1">IF(Y32=0,0,DEGREES(ACOS(MAX(-1, MIN(1,((U$15-Y$15)*($I32-Y$15)+(V$15-Z$15)*($J32-Z$15))/(SQRT((U$15-Y$15)^2+(V$15-Z$15)^2)*SQRT(($I32-Y$15)^2+($J32-Z$15)^2)))))))</f>
        <v>95.228983831653949</v>
      </c>
      <c r="AA32">
        <f t="shared" ca="1" si="7"/>
        <v>95.228983831653949</v>
      </c>
      <c r="AB32" s="2">
        <f t="shared" ca="1" si="8"/>
        <v>20.225205716289715</v>
      </c>
      <c r="AC32" s="29">
        <f ca="1">SQRT(($I32-AC$15)^2+($J32-AD$15)^2)</f>
        <v>4.3707866008291081</v>
      </c>
      <c r="AD32">
        <f ca="1">IF(AC32=0,0,DEGREES(ACOS(MAX(-1, MIN(1,((Y$15-AC$15)*($I32-AC$15)+(Z$15-AD$15)*($J32-AD$15))/(SQRT((Y$15-AC$15)^2+(Z$15-AD$15)^2)*SQRT(($I32-AC$15)^2+($J32-AD$15)^2)))))))</f>
        <v>0</v>
      </c>
      <c r="AE32">
        <f t="shared" ca="1" si="9"/>
        <v>0</v>
      </c>
      <c r="AF32" s="2" t="str">
        <f t="shared" ca="1" si="10"/>
        <v/>
      </c>
    </row>
    <row r="33" spans="1:32" x14ac:dyDescent="0.3">
      <c r="A33">
        <v>30</v>
      </c>
      <c r="B33">
        <f>control!$E$19*COS($A33/180*PI())+control!$B$19</f>
        <v>41.732050807568875</v>
      </c>
      <c r="C33" s="2">
        <f>control!$E$19*SIN($A33/180*PI())+control!$C$19</f>
        <v>-20</v>
      </c>
      <c r="H33" s="27" t="s">
        <v>85</v>
      </c>
      <c r="I33">
        <f ca="1">($J$13-K7)/(I7-$I$13)</f>
        <v>20.07917479310002</v>
      </c>
      <c r="J33">
        <f ca="1">(I7*$J$13-$I$13*K7)/(I7-$I$13)</f>
        <v>-19.77474202260759</v>
      </c>
      <c r="K33" t="b">
        <f ca="1">(layout!I33-control!$B$19)*COS(control!$C$12/180*PI())+(layout!J33-control!$C$19)*SIN(control!$C$12/180*PI())&gt;0</f>
        <v>1</v>
      </c>
      <c r="L33" t="b">
        <f ca="1">(layout!I33-$F$14)*COS(control!$C$14/180*PI())+(layout!J33-$G$14)*SIN(control!$C$14/180*PI())&gt;0</f>
        <v>1</v>
      </c>
      <c r="M33" s="29">
        <f ca="1">SQRT(($I33-M$15)^2+($J33-N$15)^2)</f>
        <v>45.762542579677515</v>
      </c>
      <c r="N33">
        <f ca="1">IF(M33=0,10^9,ATAN2($I33-M$15,$J33-N$15)/PI()*180)</f>
        <v>17.333481258668044</v>
      </c>
      <c r="O33">
        <f t="shared" ca="1" si="1"/>
        <v>17.333481258668044</v>
      </c>
      <c r="P33" s="2" t="str">
        <f t="shared" ca="1" si="2"/>
        <v/>
      </c>
      <c r="Q33" s="29">
        <f ca="1">SQRT(($I33-Q$15)^2+($J33-R$15)^2)</f>
        <v>6.4453300903897519</v>
      </c>
      <c r="R33">
        <f ca="1">IF(Q33=0,0,DEGREES(ACOS(MAX(-1, MIN(1,((M$15-Q$15)*($I33-Q$15)+(N$15-R$15)*($J33-R$15))/(SQRT((M$15-Q$15)^2+(N$15-R$15)^2)*SQRT(($I33-Q$15)^2+($J33-R$15)^2)))))))</f>
        <v>84.771016168346051</v>
      </c>
      <c r="S33">
        <f t="shared" ca="1" si="3"/>
        <v>84.771016168346051</v>
      </c>
      <c r="T33" s="2">
        <f t="shared" ca="1" si="4"/>
        <v>6.4453300903897519</v>
      </c>
      <c r="U33" s="29">
        <f ca="1">SQRT(($I33-U$15)^2+($J33-V$15)^2)</f>
        <v>4.3707866008291081</v>
      </c>
      <c r="V33">
        <f ca="1">IF(U33=0,0,DEGREES(ACOS(MAX(-1, MIN(1,((Q$15-U$15)*($I33-U$15)+(R$15-V$15)*($J33-V$15))/(SQRT((Q$15-U$15)^2+(R$15-V$15)^2)*SQRT(($I33-U$15)^2+($J33-V$15)^2)))))))</f>
        <v>0</v>
      </c>
      <c r="W33">
        <f t="shared" ca="1" si="5"/>
        <v>0</v>
      </c>
      <c r="X33" s="2" t="str">
        <f t="shared" ca="1" si="6"/>
        <v/>
      </c>
      <c r="Y33" s="29">
        <f ca="1">SQRT(($I33-Y$15)^2+($J33-Z$15)^2)</f>
        <v>38.881958206384205</v>
      </c>
      <c r="Z33">
        <f ca="1">IF(Y33=0,0,DEGREES(ACOS(MAX(-1, MIN(1,((U$15-Y$15)*($I33-Y$15)+(V$15-Z$15)*($J33-Z$15))/(SQRT((U$15-Y$15)^2+(V$15-Z$15)^2)*SQRT(($I33-Y$15)^2+($J33-Z$15)^2)))))))</f>
        <v>5.9047774558410513</v>
      </c>
      <c r="AA33">
        <f t="shared" ca="1" si="7"/>
        <v>5.9047774558410513</v>
      </c>
      <c r="AB33" s="2" t="str">
        <f t="shared" ca="1" si="8"/>
        <v/>
      </c>
      <c r="AC33" s="29">
        <f ca="1">SQRT(($I33-AC$15)^2+($J33-AD$15)^2)</f>
        <v>45.762542579677515</v>
      </c>
      <c r="AD33">
        <f ca="1">IF(AC33=0,0,DEGREES(ACOS(MAX(-1, MIN(1,((Y$15-AC$15)*($I33-AC$15)+(Z$15-AD$15)*($J33-AD$15))/(SQRT((Y$15-AC$15)^2+(Z$15-AD$15)^2)*SQRT(($I33-AC$15)^2+($J33-AD$15)^2)))))))</f>
        <v>58.166759536242729</v>
      </c>
      <c r="AE33">
        <f t="shared" ca="1" si="9"/>
        <v>58.166759536242729</v>
      </c>
      <c r="AF33" s="2" t="str">
        <f t="shared" ca="1" si="10"/>
        <v/>
      </c>
    </row>
    <row r="34" spans="1:32" x14ac:dyDescent="0.3">
      <c r="A34">
        <v>31</v>
      </c>
      <c r="B34">
        <f>control!$E$19*COS($A34/180*PI())+control!$B$19</f>
        <v>41.714334601404225</v>
      </c>
      <c r="C34" s="2">
        <f>control!$E$19*SIN($A34/180*PI())+control!$C$19</f>
        <v>-19.969923850179892</v>
      </c>
      <c r="H34" s="27" t="s">
        <v>86</v>
      </c>
      <c r="I34">
        <f ca="1">($J$13-K8)/(I8-$I$13)</f>
        <v>15.410729426773969</v>
      </c>
      <c r="J34">
        <f ca="1">(I8*$J$13-$I$13*K8)/(I8-$I$13)</f>
        <v>-19.012699641616756</v>
      </c>
      <c r="K34" t="b">
        <f ca="1">(layout!I34-control!$B$19)*COS(control!$C$12/180*PI())+(layout!J34-control!$C$19)*SIN(control!$C$12/180*PI())&gt;0</f>
        <v>1</v>
      </c>
      <c r="L34" t="b">
        <f ca="1">(layout!I34-$F$14)*COS(control!$C$14/180*PI())+(layout!J34-$G$14)*SIN(control!$C$14/180*PI())&gt;0</f>
        <v>1</v>
      </c>
      <c r="M34" s="29">
        <f ca="1">SQRT(($I34-M$15)^2+($J34-N$15)^2)</f>
        <v>41.58712864078413</v>
      </c>
      <c r="N34">
        <f ca="1">IF(M34=0,10^9,ATAN2($I34-M$15,$J34-N$15)/PI()*180)</f>
        <v>20.253212744766902</v>
      </c>
      <c r="O34">
        <f t="shared" ca="1" si="1"/>
        <v>20.253212744766902</v>
      </c>
      <c r="P34" s="2" t="str">
        <f t="shared" ca="1" si="2"/>
        <v/>
      </c>
      <c r="Q34" s="29">
        <f ca="1">SQRT(($I34-Q$15)^2+($J34-R$15)^2)</f>
        <v>9.4071874976150411</v>
      </c>
      <c r="R34">
        <f ca="1">IF(Q34=0,0,DEGREES(ACOS(MAX(-1, MIN(1,((M$15-Q$15)*($I34-Q$15)+(N$15-R$15)*($J34-R$15))/(SQRT((M$15-Q$15)^2+(N$15-R$15)^2)*SQRT(($I34-Q$15)^2+($J34-R$15)^2)))))))</f>
        <v>57.372617735282653</v>
      </c>
      <c r="S34">
        <f t="shared" ca="1" si="3"/>
        <v>57.372617735282653</v>
      </c>
      <c r="T34" s="2" t="str">
        <f t="shared" ca="1" si="4"/>
        <v/>
      </c>
      <c r="U34" s="29">
        <f ca="1">SQRT(($I34-U$15)^2+($J34-V$15)^2)</f>
        <v>4.9811506574624298</v>
      </c>
      <c r="V34">
        <f ca="1">IF(U34=0,0,DEGREES(ACOS(MAX(-1, MIN(1,((Q$15-U$15)*($I34-U$15)+(R$15-V$15)*($J34-V$15))/(SQRT((Q$15-U$15)^2+(R$15-V$15)^2)*SQRT(($I34-U$15)^2+($J34-V$15)^2)))))))</f>
        <v>60.350365430591332</v>
      </c>
      <c r="W34">
        <f t="shared" ca="1" si="5"/>
        <v>60.350365430591332</v>
      </c>
      <c r="X34" s="2" t="str">
        <f t="shared" ca="1" si="6"/>
        <v/>
      </c>
      <c r="Y34" s="29">
        <f ca="1">SQRT(($I34-Y$15)^2+($J34-Z$15)^2)</f>
        <v>34.180288310094937</v>
      </c>
      <c r="Z34">
        <f ca="1">IF(Y34=0,0,DEGREES(ACOS(MAX(-1, MIN(1,((U$15-Y$15)*($I34-Y$15)+(V$15-Z$15)*($J34-Z$15))/(SQRT((U$15-Y$15)^2+(V$15-Z$15)^2)*SQRT(($I34-Y$15)^2+($J34-Z$15)^2)))))))</f>
        <v>6.7205251369397523</v>
      </c>
      <c r="AA34">
        <f t="shared" ca="1" si="7"/>
        <v>6.7205251369397523</v>
      </c>
      <c r="AB34" s="2" t="str">
        <f t="shared" ca="1" si="8"/>
        <v/>
      </c>
      <c r="AC34" s="29">
        <f ca="1">SQRT(($I34-AC$15)^2+($J34-AD$15)^2)</f>
        <v>41.58712864078413</v>
      </c>
      <c r="AD34">
        <f ca="1">IF(AC34=0,0,DEGREES(ACOS(MAX(-1, MIN(1,((Y$15-AC$15)*($I34-AC$15)+(Z$15-AD$15)*($J34-AD$15))/(SQRT((Y$15-AC$15)^2+(Z$15-AD$15)^2)*SQRT(($I34-AC$15)^2+($J34-AD$15)^2)))))))</f>
        <v>55.247028050143861</v>
      </c>
      <c r="AE34">
        <f t="shared" ca="1" si="9"/>
        <v>55.247028050143861</v>
      </c>
      <c r="AF34" s="2" t="str">
        <f t="shared" ca="1" si="10"/>
        <v/>
      </c>
    </row>
    <row r="35" spans="1:32" x14ac:dyDescent="0.3">
      <c r="A35">
        <v>32</v>
      </c>
      <c r="B35">
        <f>control!$E$19*COS($A35/180*PI())+control!$B$19</f>
        <v>41.696096192312851</v>
      </c>
      <c r="C35" s="2">
        <f>control!$E$19*SIN($A35/180*PI())+control!$C$19</f>
        <v>-19.940161471533589</v>
      </c>
      <c r="H35" s="27" t="s">
        <v>87</v>
      </c>
      <c r="I35">
        <f ca="1">($J$13-K9)/(I9-$I$13)</f>
        <v>-11.170329273565681</v>
      </c>
      <c r="J35">
        <f ca="1">(I9*$J$13-$I$13*K9)/(I9-$I$13)</f>
        <v>-14.673804855062853</v>
      </c>
      <c r="K35" t="b">
        <f ca="1">(layout!I35-control!$B$19)*COS(control!$C$12/180*PI())+(layout!J35-control!$C$19)*SIN(control!$C$12/180*PI())&gt;0</f>
        <v>1</v>
      </c>
      <c r="L35" t="b">
        <f ca="1">(layout!I35-$F$14)*COS(control!$C$14/180*PI())+(layout!J35-$G$14)*SIN(control!$C$14/180*PI())&gt;0</f>
        <v>1</v>
      </c>
      <c r="M35" s="29">
        <f ca="1">SQRT(($I35-M$15)^2+($J35-N$15)^2)</f>
        <v>22.486185990618498</v>
      </c>
      <c r="N35">
        <f ca="1">IF(M35=0,10^9,ATAN2($I35-M$15,$J35-N$15)/PI()*180)</f>
        <v>56.427061417638917</v>
      </c>
      <c r="O35">
        <f t="shared" ca="1" si="1"/>
        <v>56.427061417638917</v>
      </c>
      <c r="P35" s="2" t="str">
        <f t="shared" ca="1" si="2"/>
        <v/>
      </c>
      <c r="Q35" s="29">
        <f ca="1">SQRT(($I35-Q$15)^2+($J35-R$15)^2)</f>
        <v>34.765090940321691</v>
      </c>
      <c r="R35">
        <f ca="1">IF(Q35=0,0,DEGREES(ACOS(MAX(-1, MIN(1,((M$15-Q$15)*($I35-Q$15)+(N$15-R$15)*($J35-R$15))/(SQRT((M$15-Q$15)^2+(N$15-R$15)^2)*SQRT(($I35-Q$15)^2+($J35-R$15)^2)))))))</f>
        <v>28.310118116830694</v>
      </c>
      <c r="S35">
        <f t="shared" ca="1" si="3"/>
        <v>28.310118116830694</v>
      </c>
      <c r="T35" s="2" t="str">
        <f t="shared" ca="1" si="4"/>
        <v/>
      </c>
      <c r="U35" s="29">
        <f ca="1">SQRT(($I35-U$15)^2+($J35-V$15)^2)</f>
        <v>30.167693480444953</v>
      </c>
      <c r="V35">
        <f ca="1">IF(U35=0,0,DEGREES(ACOS(MAX(-1, MIN(1,((Q$15-U$15)*($I35-U$15)+(R$15-V$15)*($J35-V$15))/(SQRT((Q$15-U$15)^2+(R$15-V$15)^2)*SQRT(($I35-U$15)^2+($J35-V$15)^2)))))))</f>
        <v>106.1511247672516</v>
      </c>
      <c r="W35">
        <f t="shared" ca="1" si="5"/>
        <v>106.1511247672516</v>
      </c>
      <c r="X35" s="2" t="str">
        <f t="shared" ca="1" si="6"/>
        <v/>
      </c>
      <c r="Y35" s="29">
        <f ca="1">SQRT(($I35-Y$15)^2+($J35-Z$15)^2)</f>
        <v>8.0731767431387507</v>
      </c>
      <c r="Z35">
        <f ca="1">IF(Y35=0,0,DEGREES(ACOS(MAX(-1, MIN(1,((U$15-Y$15)*($I35-Y$15)+(V$15-Z$15)*($J35-Z$15))/(SQRT((U$15-Y$15)^2+(V$15-Z$15)^2)*SQRT(($I35-Y$15)^2+($J35-Z$15)^2)))))))</f>
        <v>29.700609519407099</v>
      </c>
      <c r="AA35">
        <f t="shared" ca="1" si="7"/>
        <v>29.700609519407099</v>
      </c>
      <c r="AB35" s="2" t="str">
        <f t="shared" ca="1" si="8"/>
        <v/>
      </c>
      <c r="AC35" s="29">
        <f ca="1">SQRT(($I35-AC$15)^2+($J35-AD$15)^2)</f>
        <v>22.486185990618498</v>
      </c>
      <c r="AD35">
        <f ca="1">IF(AC35=0,0,DEGREES(ACOS(MAX(-1, MIN(1,((Y$15-AC$15)*($I35-AC$15)+(Z$15-AD$15)*($J35-AD$15))/(SQRT((Y$15-AC$15)^2+(Z$15-AD$15)^2)*SQRT(($I35-AC$15)^2+($J35-AD$15)^2)))))))</f>
        <v>19.07317937727186</v>
      </c>
      <c r="AE35">
        <f t="shared" ca="1" si="9"/>
        <v>19.07317937727186</v>
      </c>
      <c r="AF35" s="2" t="str">
        <f t="shared" ca="1" si="10"/>
        <v/>
      </c>
    </row>
    <row r="36" spans="1:32" x14ac:dyDescent="0.3">
      <c r="A36">
        <v>33</v>
      </c>
      <c r="B36">
        <f>control!$E$19*COS($A36/180*PI())+control!$B$19</f>
        <v>41.677341135890849</v>
      </c>
      <c r="C36" s="2">
        <f>control!$E$19*SIN($A36/180*PI())+control!$C$19</f>
        <v>-19.910721929969945</v>
      </c>
      <c r="H36" s="27" t="s">
        <v>88</v>
      </c>
      <c r="I36">
        <f ca="1">($J$13-K10)/(I10-$I$13)</f>
        <v>-6.5018839072396331</v>
      </c>
      <c r="J36">
        <f ca="1">(I10*$J$13-$I$13*K10)/(I10-$I$13)</f>
        <v>-15.435847236053682</v>
      </c>
      <c r="K36" t="b">
        <f ca="1">(layout!I36-control!$B$19)*COS(control!$C$12/180*PI())+(layout!J36-control!$C$19)*SIN(control!$C$12/180*PI())&gt;0</f>
        <v>1</v>
      </c>
      <c r="L36" t="b">
        <f ca="1">(layout!I36-$F$14)*COS(control!$C$14/180*PI())+(layout!J36-$G$14)*SIN(control!$C$14/180*PI())&gt;0</f>
        <v>1</v>
      </c>
      <c r="M36" s="29">
        <f ca="1">SQRT(($I36-M$15)^2+($J36-N$15)^2)</f>
        <v>24.810326702908352</v>
      </c>
      <c r="N36">
        <f ca="1">IF(M36=0,10^9,ATAN2($I36-M$15,$J36-N$15)/PI()*180)</f>
        <v>46.420478906405002</v>
      </c>
      <c r="O36">
        <f t="shared" ca="1" si="1"/>
        <v>46.420478906405002</v>
      </c>
      <c r="P36" s="2" t="str">
        <f t="shared" ca="1" si="2"/>
        <v/>
      </c>
      <c r="Q36" s="29">
        <f ca="1">SQRT(($I36-Q$15)^2+($J36-R$15)^2)</f>
        <v>30.114138994437898</v>
      </c>
      <c r="R36">
        <f ca="1">IF(Q36=0,0,DEGREES(ACOS(MAX(-1, MIN(1,((M$15-Q$15)*($I36-Q$15)+(N$15-R$15)*($J36-R$15))/(SQRT((M$15-Q$15)^2+(N$15-R$15)^2)*SQRT(($I36-Q$15)^2+($J36-R$15)^2)))))))</f>
        <v>29.837290957856077</v>
      </c>
      <c r="S36">
        <f t="shared" ca="1" si="3"/>
        <v>29.837290957856077</v>
      </c>
      <c r="T36" s="2" t="str">
        <f t="shared" ca="1" si="4"/>
        <v/>
      </c>
      <c r="U36" s="29">
        <f ca="1">SQRT(($I36-U$15)^2+($J36-V$15)^2)</f>
        <v>25.486944883536331</v>
      </c>
      <c r="V36">
        <f ca="1">IF(U36=0,0,DEGREES(ACOS(MAX(-1, MIN(1,((Q$15-U$15)*($I36-U$15)+(R$15-V$15)*($J36-V$15))/(SQRT((Q$15-U$15)^2+(R$15-V$15)^2)*SQRT(($I36-U$15)^2+($J36-V$15)^2)))))))</f>
        <v>104.74102778832805</v>
      </c>
      <c r="W36">
        <f t="shared" ca="1" si="5"/>
        <v>104.74102778832805</v>
      </c>
      <c r="X36" s="2" t="str">
        <f t="shared" ca="1" si="6"/>
        <v/>
      </c>
      <c r="Y36" s="29">
        <f ca="1">SQRT(($I36-Y$15)^2+($J36-Z$15)^2)</f>
        <v>12.405380431749776</v>
      </c>
      <c r="Z36">
        <f ca="1">IF(Y36=0,0,DEGREES(ACOS(MAX(-1, MIN(1,((U$15-Y$15)*($I36-Y$15)+(V$15-Z$15)*($J36-Z$15))/(SQRT((U$15-Y$15)^2+(V$15-Z$15)^2)*SQRT(($I36-Y$15)^2+($J36-Z$15)^2)))))))</f>
        <v>18.810594660967144</v>
      </c>
      <c r="AA36">
        <f t="shared" ca="1" si="7"/>
        <v>18.810594660967144</v>
      </c>
      <c r="AB36" s="2" t="str">
        <f t="shared" ca="1" si="8"/>
        <v/>
      </c>
      <c r="AC36" s="29">
        <f ca="1">SQRT(($I36-AC$15)^2+($J36-AD$15)^2)</f>
        <v>24.810326702908352</v>
      </c>
      <c r="AD36">
        <f ca="1">IF(AC36=0,0,DEGREES(ACOS(MAX(-1, MIN(1,((Y$15-AC$15)*($I36-AC$15)+(Z$15-AD$15)*($J36-AD$15))/(SQRT((Y$15-AC$15)^2+(Z$15-AD$15)^2)*SQRT(($I36-AC$15)^2+($J36-AD$15)^2)))))))</f>
        <v>29.079761888505782</v>
      </c>
      <c r="AE36">
        <f t="shared" ca="1" si="9"/>
        <v>29.079761888505782</v>
      </c>
      <c r="AF36" s="2" t="str">
        <f t="shared" ca="1" si="10"/>
        <v/>
      </c>
    </row>
    <row r="37" spans="1:32" x14ac:dyDescent="0.3">
      <c r="A37">
        <v>34</v>
      </c>
      <c r="B37">
        <f>control!$E$19*COS($A37/180*PI())+control!$B$19</f>
        <v>41.658075145110082</v>
      </c>
      <c r="C37" s="2">
        <f>control!$E$19*SIN($A37/180*PI())+control!$C$19</f>
        <v>-19.881614193058507</v>
      </c>
      <c r="H37" s="27" t="s">
        <v>96</v>
      </c>
      <c r="I37">
        <f ca="1">($J$13-L7)/(J7-$I$13)</f>
        <v>5.9751762468963729</v>
      </c>
      <c r="J37">
        <f ca="1">(J7*$J$13-$I$13*L7)/(J7-$I$13)</f>
        <v>-17.472509953841083</v>
      </c>
      <c r="K37" t="b">
        <f ca="1">(layout!I37-control!$B$19)*COS(control!$C$12/180*PI())+(layout!J37-control!$C$19)*SIN(control!$C$12/180*PI())&gt;0</f>
        <v>1</v>
      </c>
      <c r="L37" t="b">
        <f ca="1">(layout!I37-$F$14)*COS(control!$C$14/180*PI())+(layout!J37-$G$14)*SIN(control!$C$14/180*PI())&gt;0</f>
        <v>1</v>
      </c>
      <c r="M37" s="29">
        <f ca="1">SQRT(($I37-M$15)^2+($J37-N$15)^2)</f>
        <v>33.600061374834709</v>
      </c>
      <c r="N37">
        <f ca="1">IF(M37=0,10^9,ATAN2($I37-M$15,$J37-N$15)/PI()*180)</f>
        <v>28.313556089477235</v>
      </c>
      <c r="O37">
        <f t="shared" ca="1" si="1"/>
        <v>28.313556089477235</v>
      </c>
      <c r="P37" s="2" t="str">
        <f t="shared" ca="1" si="2"/>
        <v/>
      </c>
      <c r="Q37" s="29">
        <f ca="1">SQRT(($I37-Q$15)^2+($J37-R$15)^2)</f>
        <v>17.889051680824291</v>
      </c>
      <c r="R37">
        <f ca="1">IF(Q37=0,0,DEGREES(ACOS(MAX(-1, MIN(1,((M$15-Q$15)*($I37-Q$15)+(N$15-R$15)*($J37-R$15))/(SQRT((M$15-Q$15)^2+(N$15-R$15)^2)*SQRT(($I37-Q$15)^2+($J37-R$15)^2)))))))</f>
        <v>37.793928617619606</v>
      </c>
      <c r="S37">
        <f t="shared" ca="1" si="3"/>
        <v>37.793928617619606</v>
      </c>
      <c r="T37" s="2" t="str">
        <f t="shared" ca="1" si="4"/>
        <v/>
      </c>
      <c r="U37" s="29">
        <f ca="1">SQRT(($I37-U$15)^2+($J37-V$15)^2)</f>
        <v>13.151941724841219</v>
      </c>
      <c r="V37">
        <f ca="1">IF(U37=0,0,DEGREES(ACOS(MAX(-1, MIN(1,((Q$15-U$15)*($I37-U$15)+(R$15-V$15)*($J37-V$15))/(SQRT((Q$15-U$15)^2+(R$15-V$15)^2)*SQRT(($I37-U$15)^2+($J37-V$15)^2)))))))</f>
        <v>96.064247151495664</v>
      </c>
      <c r="W37">
        <f t="shared" ca="1" si="5"/>
        <v>96.064247151495664</v>
      </c>
      <c r="X37" s="2" t="str">
        <f t="shared" ca="1" si="6"/>
        <v/>
      </c>
      <c r="Y37" s="29">
        <f ca="1">SQRT(($I37-Y$15)^2+($J37-Z$15)^2)</f>
        <v>24.710889900470377</v>
      </c>
      <c r="Z37">
        <f ca="1">IF(Y37=0,0,DEGREES(ACOS(MAX(-1, MIN(1,((U$15-Y$15)*($I37-Y$15)+(V$15-Z$15)*($J37-Z$15))/(SQRT((U$15-Y$15)^2+(V$15-Z$15)^2)*SQRT(($I37-Y$15)^2+($J37-Z$15)^2)))))))</f>
        <v>9.3155677754176374</v>
      </c>
      <c r="AA37">
        <f t="shared" ca="1" si="7"/>
        <v>9.3155677754176374</v>
      </c>
      <c r="AB37" s="2" t="str">
        <f t="shared" ca="1" si="8"/>
        <v/>
      </c>
      <c r="AC37" s="29">
        <f ca="1">SQRT(($I37-AC$15)^2+($J37-AD$15)^2)</f>
        <v>33.600061374834709</v>
      </c>
      <c r="AD37">
        <f ca="1">IF(AC37=0,0,DEGREES(ACOS(MAX(-1, MIN(1,((Y$15-AC$15)*($I37-AC$15)+(Z$15-AD$15)*($J37-AD$15))/(SQRT((Y$15-AC$15)^2+(Z$15-AD$15)^2)*SQRT(($I37-AC$15)^2+($J37-AD$15)^2)))))))</f>
        <v>47.186684705433542</v>
      </c>
      <c r="AE37">
        <f t="shared" ca="1" si="9"/>
        <v>47.186684705433542</v>
      </c>
      <c r="AF37" s="2" t="str">
        <f t="shared" ca="1" si="10"/>
        <v/>
      </c>
    </row>
    <row r="38" spans="1:32" x14ac:dyDescent="0.3">
      <c r="A38">
        <v>35</v>
      </c>
      <c r="B38">
        <f>control!$E$19*COS($A38/180*PI())+control!$B$19</f>
        <v>41.638304088577982</v>
      </c>
      <c r="C38" s="2">
        <f>control!$E$19*SIN($A38/180*PI())+control!$C$19</f>
        <v>-19.852847127297906</v>
      </c>
      <c r="H38" s="27" t="s">
        <v>97</v>
      </c>
      <c r="I38">
        <f ca="1">($J$13-L8)/(J8-$I$13)</f>
        <v>10.265438001915546</v>
      </c>
      <c r="J38">
        <f ca="1">(J8*$J$13-$I$13*L8)/(J8-$I$13)</f>
        <v>-18.172820448304815</v>
      </c>
      <c r="K38" t="b">
        <f ca="1">(layout!I38-control!$B$19)*COS(control!$C$12/180*PI())+(layout!J38-control!$C$19)*SIN(control!$C$12/180*PI())&gt;0</f>
        <v>1</v>
      </c>
      <c r="L38" t="b">
        <f ca="1">(layout!I38-$F$14)*COS(control!$C$14/180*PI())+(layout!J38-$G$14)*SIN(control!$C$14/180*PI())&gt;0</f>
        <v>1</v>
      </c>
      <c r="M38" s="29">
        <f ca="1">SQRT(($I38-M$15)^2+($J38-N$15)^2)</f>
        <v>37.139665056287129</v>
      </c>
      <c r="N38">
        <f ca="1">IF(M38=0,10^9,ATAN2($I38-M$15,$J38-N$15)/PI()*180)</f>
        <v>24.219751983358279</v>
      </c>
      <c r="O38">
        <f t="shared" ca="1" si="1"/>
        <v>24.219751983358279</v>
      </c>
      <c r="P38" s="2" t="str">
        <f t="shared" ca="1" si="2"/>
        <v/>
      </c>
      <c r="Q38" s="29">
        <f ca="1">SQRT(($I38-Q$15)^2+($J38-R$15)^2)</f>
        <v>13.859433956694415</v>
      </c>
      <c r="R38">
        <f ca="1">IF(Q38=0,0,DEGREES(ACOS(MAX(-1, MIN(1,((M$15-Q$15)*($I38-Q$15)+(N$15-R$15)*($J38-R$15))/(SQRT((M$15-Q$15)^2+(N$15-R$15)^2)*SQRT(($I38-Q$15)^2+($J38-R$15)^2)))))))</f>
        <v>43.730101308747201</v>
      </c>
      <c r="S38">
        <f t="shared" ca="1" si="3"/>
        <v>43.730101308747201</v>
      </c>
      <c r="T38" s="2" t="str">
        <f t="shared" ca="1" si="4"/>
        <v/>
      </c>
      <c r="U38" s="29">
        <f ca="1">SQRT(($I38-U$15)^2+($J38-V$15)^2)</f>
        <v>9.1073015785219944</v>
      </c>
      <c r="V38">
        <f ca="1">IF(U38=0,0,DEGREES(ACOS(MAX(-1, MIN(1,((Q$15-U$15)*($I38-U$15)+(R$15-V$15)*($J38-V$15))/(SQRT((Q$15-U$15)^2+(R$15-V$15)^2)*SQRT(($I38-U$15)^2+($J38-V$15)^2)))))))</f>
        <v>87.717173220791182</v>
      </c>
      <c r="W38">
        <f t="shared" ca="1" si="5"/>
        <v>87.717173220791182</v>
      </c>
      <c r="X38" s="2" t="str">
        <f t="shared" ca="1" si="6"/>
        <v/>
      </c>
      <c r="Y38" s="29">
        <f ca="1">SQRT(($I38-Y$15)^2+($J38-Z$15)^2)</f>
        <v>29.009138381738119</v>
      </c>
      <c r="Z38">
        <f ca="1">IF(Y38=0,0,DEGREES(ACOS(MAX(-1, MIN(1,((U$15-Y$15)*($I38-Y$15)+(V$15-Z$15)*($J38-Z$15))/(SQRT((U$15-Y$15)^2+(V$15-Z$15)^2)*SQRT(($I38-Y$15)^2+($J38-Z$15)^2)))))))</f>
        <v>7.9256282089074626</v>
      </c>
      <c r="AA38">
        <f t="shared" ca="1" si="7"/>
        <v>7.9256282089074626</v>
      </c>
      <c r="AB38" s="2" t="str">
        <f t="shared" ca="1" si="8"/>
        <v/>
      </c>
      <c r="AC38" s="29">
        <f ca="1">SQRT(($I38-AC$15)^2+($J38-AD$15)^2)</f>
        <v>37.139665056287129</v>
      </c>
      <c r="AD38">
        <f ca="1">IF(AC38=0,0,DEGREES(ACOS(MAX(-1, MIN(1,((Y$15-AC$15)*($I38-AC$15)+(Z$15-AD$15)*($J38-AD$15))/(SQRT((Y$15-AC$15)^2+(Z$15-AD$15)^2)*SQRT(($I38-AC$15)^2+($J38-AD$15)^2)))))))</f>
        <v>51.280488811552495</v>
      </c>
      <c r="AE38">
        <f t="shared" ca="1" si="9"/>
        <v>51.280488811552495</v>
      </c>
      <c r="AF38" s="2" t="str">
        <f t="shared" ca="1" si="10"/>
        <v/>
      </c>
    </row>
    <row r="39" spans="1:32" x14ac:dyDescent="0.3">
      <c r="A39">
        <v>36</v>
      </c>
      <c r="B39">
        <f>control!$E$19*COS($A39/180*PI())+control!$B$19</f>
        <v>41.618033988749893</v>
      </c>
      <c r="C39" s="2">
        <f>control!$E$19*SIN($A39/180*PI())+control!$C$19</f>
        <v>-19.824429495415053</v>
      </c>
      <c r="H39" s="27" t="s">
        <v>98</v>
      </c>
      <c r="I39">
        <f ca="1">($J$13-L9)/(J9-$I$13)</f>
        <v>-14.162329831155045</v>
      </c>
      <c r="J39">
        <f ca="1">(J9*$J$13-$I$13*L9)/(J9-$I$13)</f>
        <v>-14.185412885162684</v>
      </c>
      <c r="K39" t="b">
        <f ca="1">(layout!I39-control!$B$19)*COS(control!$C$12/180*PI())+(layout!J39-control!$C$19)*SIN(control!$C$12/180*PI())&gt;0</f>
        <v>1</v>
      </c>
      <c r="L39" t="b">
        <f ca="1">(layout!I39-$F$14)*COS(control!$C$14/180*PI())+(layout!J39-$G$14)*SIN(control!$C$14/180*PI())&gt;0</f>
        <v>1</v>
      </c>
      <c r="M39" s="29">
        <f ca="1">SQRT(($I39-M$15)^2+($J39-N$15)^2)</f>
        <v>21.417500607176159</v>
      </c>
      <c r="N39">
        <f ca="1">IF(M39=0,10^9,ATAN2($I39-M$15,$J39-N$15)/PI()*180)</f>
        <v>63.839154151816821</v>
      </c>
      <c r="O39">
        <f t="shared" ca="1" si="1"/>
        <v>63.839154151816821</v>
      </c>
      <c r="P39" s="2" t="str">
        <f t="shared" ca="1" si="2"/>
        <v/>
      </c>
      <c r="Q39" s="29">
        <f ca="1">SQRT(($I39-Q$15)^2+($J39-R$15)^2)</f>
        <v>37.756239307442549</v>
      </c>
      <c r="R39">
        <f ca="1">IF(Q39=0,0,DEGREES(ACOS(MAX(-1, MIN(1,((M$15-Q$15)*($I39-Q$15)+(N$15-R$15)*($J39-R$15))/(SQRT((M$15-Q$15)^2+(N$15-R$15)^2)*SQRT(($I39-Q$15)^2+($J39-R$15)^2)))))))</f>
        <v>27.529531121181659</v>
      </c>
      <c r="S39">
        <f t="shared" ca="1" si="3"/>
        <v>27.529531121181659</v>
      </c>
      <c r="T39" s="2" t="str">
        <f t="shared" ca="1" si="4"/>
        <v/>
      </c>
      <c r="U39" s="29">
        <f ca="1">SQRT(($I39-U$15)^2+($J39-V$15)^2)</f>
        <v>33.174961089195023</v>
      </c>
      <c r="V39">
        <f ca="1">IF(U39=0,0,DEGREES(ACOS(MAX(-1, MIN(1,((Q$15-U$15)*($I39-U$15)+(R$15-V$15)*($J39-V$15))/(SQRT((Q$15-U$15)^2+(R$15-V$15)^2)*SQRT(($I39-U$15)^2+($J39-V$15)^2)))))))</f>
        <v>106.84536937275189</v>
      </c>
      <c r="W39">
        <f t="shared" ca="1" si="5"/>
        <v>106.84536937275189</v>
      </c>
      <c r="X39" s="2" t="str">
        <f t="shared" ca="1" si="6"/>
        <v/>
      </c>
      <c r="Y39" s="29">
        <f ca="1">SQRT(($I39-Y$15)^2+($J39-Z$15)^2)</f>
        <v>5.6434168238042526</v>
      </c>
      <c r="Z39">
        <f ca="1">IF(Y39=0,0,DEGREES(ACOS(MAX(-1, MIN(1,((U$15-Y$15)*($I39-Y$15)+(V$15-Z$15)*($J39-Z$15))/(SQRT((U$15-Y$15)^2+(V$15-Z$15)^2)*SQRT(($I39-Y$15)^2+($J39-Z$15)^2)))))))</f>
        <v>45.136588759946534</v>
      </c>
      <c r="AA39">
        <f t="shared" ca="1" si="7"/>
        <v>45.136588759946534</v>
      </c>
      <c r="AB39" s="2" t="str">
        <f t="shared" ca="1" si="8"/>
        <v/>
      </c>
      <c r="AC39" s="29">
        <f ca="1">SQRT(($I39-AC$15)^2+($J39-AD$15)^2)</f>
        <v>21.417500607176159</v>
      </c>
      <c r="AD39">
        <f ca="1">IF(AC39=0,0,DEGREES(ACOS(MAX(-1, MIN(1,((Y$15-AC$15)*($I39-AC$15)+(Z$15-AD$15)*($J39-AD$15))/(SQRT((Y$15-AC$15)^2+(Z$15-AD$15)^2)*SQRT(($I39-AC$15)^2+($J39-AD$15)^2)))))))</f>
        <v>11.661086643093977</v>
      </c>
      <c r="AE39">
        <f t="shared" ca="1" si="9"/>
        <v>11.661086643093977</v>
      </c>
      <c r="AF39" s="2" t="str">
        <f t="shared" ca="1" si="10"/>
        <v/>
      </c>
    </row>
    <row r="40" spans="1:32" x14ac:dyDescent="0.3">
      <c r="A40">
        <v>37</v>
      </c>
      <c r="B40">
        <f>control!$E$19*COS($A40/180*PI())+control!$B$19</f>
        <v>41.597271020094588</v>
      </c>
      <c r="C40" s="2">
        <f>control!$E$19*SIN($A40/180*PI())+control!$C$19</f>
        <v>-19.796369953695905</v>
      </c>
      <c r="H40" s="27" t="s">
        <v>99</v>
      </c>
      <c r="I40">
        <f ca="1">($J$13-L10)/(J10-$I$13)</f>
        <v>-18.452591586174222</v>
      </c>
      <c r="J40">
        <f ca="1">(J10*$J$13-$I$13*L10)/(J10-$I$13)</f>
        <v>-13.485102390698954</v>
      </c>
      <c r="K40" t="b">
        <f ca="1">(layout!I40-control!$B$19)*COS(control!$C$12/180*PI())+(layout!J40-control!$C$19)*SIN(control!$C$12/180*PI())&gt;0</f>
        <v>1</v>
      </c>
      <c r="L40" t="b">
        <f ca="1">(layout!I40-$F$14)*COS(control!$C$14/180*PI())+(layout!J40-$G$14)*SIN(control!$C$14/180*PI())&gt;0</f>
        <v>1</v>
      </c>
      <c r="M40" s="29">
        <f ca="1">SQRT(($I40-M$15)^2+($J40-N$15)^2)</f>
        <v>20.579276446746626</v>
      </c>
      <c r="N40">
        <f ca="1">IF(M40=0,10^9,ATAN2($I40-M$15,$J40-N$15)/PI()*180)</f>
        <v>75.500240794910781</v>
      </c>
      <c r="O40">
        <f t="shared" ca="1" si="1"/>
        <v>75.500240794910781</v>
      </c>
      <c r="P40" s="2" t="str">
        <f t="shared" ca="1" si="2"/>
        <v/>
      </c>
      <c r="Q40" s="29">
        <f ca="1">SQRT(($I40-Q$15)^2+($J40-R$15)^2)</f>
        <v>42.055389071959183</v>
      </c>
      <c r="R40">
        <f ca="1">IF(Q40=0,0,DEGREES(ACOS(MAX(-1, MIN(1,((M$15-Q$15)*($I40-Q$15)+(N$15-R$15)*($J40-R$15))/(SQRT((M$15-Q$15)^2+(N$15-R$15)^2)*SQRT(($I40-Q$15)^2+($J40-R$15)^2)))))))</f>
        <v>26.604256632103294</v>
      </c>
      <c r="S40">
        <f t="shared" ca="1" si="3"/>
        <v>26.604256632103294</v>
      </c>
      <c r="T40" s="2" t="str">
        <f t="shared" ca="1" si="4"/>
        <v/>
      </c>
      <c r="U40" s="29">
        <f ca="1">SQRT(($I40-U$15)^2+($J40-V$15)^2)</f>
        <v>37.493953582875726</v>
      </c>
      <c r="V40">
        <f ca="1">IF(U40=0,0,DEGREES(ACOS(MAX(-1, MIN(1,((Q$15-U$15)*($I40-U$15)+(R$15-V$15)*($J40-V$15))/(SQRT((Q$15-U$15)^2+(R$15-V$15)^2)*SQRT(($I40-U$15)^2+($J40-V$15)^2)))))))</f>
        <v>107.6463444845275</v>
      </c>
      <c r="W40">
        <f t="shared" ca="1" si="5"/>
        <v>107.6463444845275</v>
      </c>
      <c r="X40" s="2" t="str">
        <f t="shared" ca="1" si="6"/>
        <v/>
      </c>
      <c r="Y40" s="29">
        <f ca="1">SQRT(($I40-Y$15)^2+($J40-Z$15)^2)</f>
        <v>4.0167158703721961</v>
      </c>
      <c r="Z40">
        <f ca="1">IF(Y40=0,0,DEGREES(ACOS(MAX(-1, MIN(1,((U$15-Y$15)*($I40-Y$15)+(V$15-Z$15)*($J40-Z$15))/(SQRT((U$15-Y$15)^2+(V$15-Z$15)^2)*SQRT(($I40-Y$15)^2+($J40-Z$15)^2)))))))</f>
        <v>95.228983831653963</v>
      </c>
      <c r="AA40">
        <f t="shared" ca="1" si="7"/>
        <v>95.228983831653963</v>
      </c>
      <c r="AB40" s="2">
        <f t="shared" ca="1" si="8"/>
        <v>4.0167158703721961</v>
      </c>
      <c r="AC40" s="29">
        <f ca="1">SQRT(($I40-AC$15)^2+($J40-AD$15)^2)</f>
        <v>20.579276446746626</v>
      </c>
      <c r="AD40">
        <f ca="1">IF(AC40=0,0,DEGREES(ACOS(MAX(-1, MIN(1,((Y$15-AC$15)*($I40-AC$15)+(Z$15-AD$15)*($J40-AD$15))/(SQRT((Y$15-AC$15)^2+(Z$15-AD$15)^2)*SQRT(($I40-AC$15)^2+($J40-AD$15)^2)))))))</f>
        <v>0</v>
      </c>
      <c r="AE40">
        <f t="shared" ca="1" si="9"/>
        <v>0</v>
      </c>
      <c r="AF40" s="2" t="str">
        <f t="shared" ca="1" si="10"/>
        <v/>
      </c>
    </row>
    <row r="41" spans="1:32" x14ac:dyDescent="0.3">
      <c r="A41">
        <v>38</v>
      </c>
      <c r="B41">
        <f>control!$E$19*COS($A41/180*PI())+control!$B$19</f>
        <v>41.576021507213447</v>
      </c>
      <c r="C41" s="2">
        <f>control!$E$19*SIN($A41/180*PI())+control!$C$19</f>
        <v>-19.768677049348682</v>
      </c>
      <c r="H41" s="10" t="s">
        <v>89</v>
      </c>
      <c r="I41">
        <f ca="1">($K$13-K7)/(I7-$I$13)</f>
        <v>18.984835010126233</v>
      </c>
      <c r="J41">
        <f ca="1">(I7*$K$13-$I$13*K7)/(I7-$I$13)</f>
        <v>-15.543170689238844</v>
      </c>
      <c r="K41" t="b">
        <f ca="1">(layout!I41-control!$B$19)*COS(control!$C$12/180*PI())+(layout!J41-control!$C$19)*SIN(control!$C$12/180*PI())&gt;0</f>
        <v>1</v>
      </c>
      <c r="L41" t="b">
        <f ca="1">(layout!I41-$F$14)*COS(control!$C$14/180*PI())+(layout!J41-$G$14)*SIN(control!$C$14/180*PI())&gt;0</f>
        <v>1</v>
      </c>
      <c r="M41" s="29">
        <f ca="1">SQRT(($I41-M$15)^2+($J41-N$15)^2)</f>
        <v>46.18539744193648</v>
      </c>
      <c r="N41">
        <f ca="1">IF(M41=0,10^9,ATAN2($I41-M$15,$J41-N$15)/PI()*180)</f>
        <v>22.757172657522229</v>
      </c>
      <c r="O41">
        <f t="shared" ca="1" si="1"/>
        <v>22.757172657522229</v>
      </c>
      <c r="P41" s="2" t="str">
        <f t="shared" ca="1" si="2"/>
        <v/>
      </c>
      <c r="Q41" s="29">
        <f ca="1">SQRT(($I41-Q$15)^2+($J41-R$15)^2)</f>
        <v>10.816116691218859</v>
      </c>
      <c r="R41">
        <f ca="1">IF(Q41=0,0,DEGREES(ACOS(MAX(-1, MIN(1,((M$15-Q$15)*($I41-Q$15)+(N$15-R$15)*($J41-R$15))/(SQRT((M$15-Q$15)^2+(N$15-R$15)^2)*SQRT(($I41-Q$15)^2+($J41-R$15)^2)))))))</f>
        <v>84.771016168346037</v>
      </c>
      <c r="S41">
        <f t="shared" ca="1" si="3"/>
        <v>84.771016168346037</v>
      </c>
      <c r="T41" s="2">
        <f t="shared" ca="1" si="4"/>
        <v>10.816116691218859</v>
      </c>
      <c r="U41" s="29">
        <f ca="1">SQRT(($I41-U$15)^2+($J41-V$15)^2)</f>
        <v>0</v>
      </c>
      <c r="V41">
        <f ca="1">IF(U41=0,0,DEGREES(ACOS(MAX(-1, MIN(1,((Q$15-U$15)*($I41-U$15)+(R$15-V$15)*($J41-V$15))/(SQRT((Q$15-U$15)^2+(R$15-V$15)^2)*SQRT(($I41-U$15)^2+($J41-V$15)^2)))))))</f>
        <v>0</v>
      </c>
      <c r="W41">
        <f t="shared" ca="1" si="5"/>
        <v>0</v>
      </c>
      <c r="X41" s="2" t="str">
        <f t="shared" ca="1" si="6"/>
        <v/>
      </c>
      <c r="Y41" s="29">
        <f ca="1">SQRT(($I41-Y$15)^2+($J41-Z$15)^2)</f>
        <v>36.913906435332464</v>
      </c>
      <c r="Z41">
        <f ca="1">IF(Y41=0,0,DEGREES(ACOS(MAX(-1, MIN(1,((U$15-Y$15)*($I41-Y$15)+(V$15-Z$15)*($J41-Z$15))/(SQRT((U$15-Y$15)^2+(V$15-Z$15)^2)*SQRT(($I41-Y$15)^2+($J41-Z$15)^2)))))))</f>
        <v>0</v>
      </c>
      <c r="AA41">
        <f t="shared" ca="1" si="7"/>
        <v>0</v>
      </c>
      <c r="AB41" s="2" t="str">
        <f t="shared" ca="1" si="8"/>
        <v/>
      </c>
      <c r="AC41" s="29">
        <f ca="1">SQRT(($I41-AC$15)^2+($J41-AD$15)^2)</f>
        <v>46.18539744193648</v>
      </c>
      <c r="AD41">
        <f ca="1">IF(AC41=0,0,DEGREES(ACOS(MAX(-1, MIN(1,((Y$15-AC$15)*($I41-AC$15)+(Z$15-AD$15)*($J41-AD$15))/(SQRT((Y$15-AC$15)^2+(Z$15-AD$15)^2)*SQRT(($I41-AC$15)^2+($J41-AD$15)^2)))))))</f>
        <v>52.743068137388541</v>
      </c>
      <c r="AE41">
        <f t="shared" ca="1" si="9"/>
        <v>52.743068137388541</v>
      </c>
      <c r="AF41" s="2" t="str">
        <f t="shared" ca="1" si="10"/>
        <v/>
      </c>
    </row>
    <row r="42" spans="1:32" x14ac:dyDescent="0.3">
      <c r="A42">
        <v>39</v>
      </c>
      <c r="B42">
        <f>control!$E$19*COS($A42/180*PI())+control!$B$19</f>
        <v>41.55429192291394</v>
      </c>
      <c r="C42" s="2">
        <f>control!$E$19*SIN($A42/180*PI())+control!$C$19</f>
        <v>-19.741359217900325</v>
      </c>
      <c r="H42" s="10" t="s">
        <v>90</v>
      </c>
      <c r="I42">
        <f ca="1">($K$13-K8)/(I8-$I$13)</f>
        <v>14.316389643800186</v>
      </c>
      <c r="J42">
        <f ca="1">(I8*$K$13-$I$13*K8)/(I8-$I$13)</f>
        <v>-14.781128308248014</v>
      </c>
      <c r="K42" t="b">
        <f ca="1">(layout!I42-control!$B$19)*COS(control!$C$12/180*PI())+(layout!J42-control!$C$19)*SIN(control!$C$12/180*PI())&gt;0</f>
        <v>1</v>
      </c>
      <c r="L42" t="b">
        <f ca="1">(layout!I42-$F$14)*COS(control!$C$14/180*PI())+(layout!J42-$G$14)*SIN(control!$C$14/180*PI())&gt;0</f>
        <v>1</v>
      </c>
      <c r="M42" s="29">
        <f ca="1">SQRT(($I42-M$15)^2+($J42-N$15)^2)</f>
        <v>42.24969711683633</v>
      </c>
      <c r="N42">
        <f ca="1">IF(M42=0,10^9,ATAN2($I42-M$15,$J42-N$15)/PI()*180)</f>
        <v>26.16114081475888</v>
      </c>
      <c r="O42">
        <f t="shared" ca="1" si="1"/>
        <v>26.16114081475888</v>
      </c>
      <c r="P42" s="2" t="str">
        <f t="shared" ca="1" si="2"/>
        <v/>
      </c>
      <c r="Q42" s="29">
        <f ca="1">SQRT(($I42-Q$15)^2+($J42-R$15)^2)</f>
        <v>13.439058050537264</v>
      </c>
      <c r="R42">
        <f ca="1">IF(Q42=0,0,DEGREES(ACOS(MAX(-1, MIN(1,((M$15-Q$15)*($I42-Q$15)+(N$15-R$15)*($J42-R$15))/(SQRT((M$15-Q$15)^2+(N$15-R$15)^2)*SQRT(($I42-Q$15)^2+($J42-R$15)^2)))))))</f>
        <v>65.980001530088799</v>
      </c>
      <c r="S42">
        <f t="shared" ca="1" si="3"/>
        <v>65.980001530088799</v>
      </c>
      <c r="T42" s="2" t="str">
        <f t="shared" ca="1" si="4"/>
        <v/>
      </c>
      <c r="U42" s="29">
        <f ca="1">SQRT(($I42-U$15)^2+($J42-V$15)^2)</f>
        <v>4.7302315724282797</v>
      </c>
      <c r="V42">
        <f ca="1">IF(U42=0,0,DEGREES(ACOS(MAX(-1, MIN(1,((Q$15-U$15)*($I42-U$15)+(R$15-V$15)*($J42-V$15))/(SQRT((Q$15-U$15)^2+(R$15-V$15)^2)*SQRT(($I42-U$15)^2+($J42-V$15)^2)))))))</f>
        <v>113.77053457852449</v>
      </c>
      <c r="W42">
        <f t="shared" ca="1" si="5"/>
        <v>113.77053457852449</v>
      </c>
      <c r="X42" s="2">
        <f t="shared" ca="1" si="6"/>
        <v>4.7302315724282797</v>
      </c>
      <c r="Y42" s="29">
        <f ca="1">SQRT(($I42-Y$15)^2+($J42-Z$15)^2)</f>
        <v>32.183674862904184</v>
      </c>
      <c r="Z42">
        <f ca="1">IF(Y42=0,0,DEGREES(ACOS(MAX(-1, MIN(1,((U$15-Y$15)*($I42-Y$15)+(V$15-Z$15)*($J42-Z$15))/(SQRT((U$15-Y$15)^2+(V$15-Z$15)^2)*SQRT(($I42-Y$15)^2+($J42-Z$15)^2)))))))</f>
        <v>0</v>
      </c>
      <c r="AA42">
        <f t="shared" ca="1" si="7"/>
        <v>0</v>
      </c>
      <c r="AB42" s="2" t="str">
        <f t="shared" ca="1" si="8"/>
        <v/>
      </c>
      <c r="AC42" s="29">
        <f ca="1">SQRT(($I42-AC$15)^2+($J42-AD$15)^2)</f>
        <v>42.24969711683633</v>
      </c>
      <c r="AD42">
        <f ca="1">IF(AC42=0,0,DEGREES(ACOS(MAX(-1, MIN(1,((Y$15-AC$15)*($I42-AC$15)+(Z$15-AD$15)*($J42-AD$15))/(SQRT((Y$15-AC$15)^2+(Z$15-AD$15)^2)*SQRT(($I42-AC$15)^2+($J42-AD$15)^2)))))))</f>
        <v>49.339099980151893</v>
      </c>
      <c r="AE42">
        <f t="shared" ca="1" si="9"/>
        <v>49.339099980151893</v>
      </c>
      <c r="AF42" s="2" t="str">
        <f t="shared" ca="1" si="10"/>
        <v/>
      </c>
    </row>
    <row r="43" spans="1:32" x14ac:dyDescent="0.3">
      <c r="A43">
        <v>40</v>
      </c>
      <c r="B43">
        <f>control!$E$19*COS($A43/180*PI())+control!$B$19</f>
        <v>41.532088886237958</v>
      </c>
      <c r="C43" s="2">
        <f>control!$E$19*SIN($A43/180*PI())+control!$C$19</f>
        <v>-19.714424780626921</v>
      </c>
      <c r="H43" s="10" t="s">
        <v>91</v>
      </c>
      <c r="I43">
        <f ca="1">($K$13-K9)/(I9-$I$13)</f>
        <v>-12.264669056539464</v>
      </c>
      <c r="J43">
        <f ca="1">(I9*$K$13-$I$13*K9)/(I9-$I$13)</f>
        <v>-10.442233521694106</v>
      </c>
      <c r="K43" t="b">
        <f ca="1">(layout!I43-control!$B$19)*COS(control!$C$12/180*PI())+(layout!J43-control!$C$19)*SIN(control!$C$12/180*PI())&gt;0</f>
        <v>1</v>
      </c>
      <c r="L43" t="b">
        <f ca="1">(layout!I43-$F$14)*COS(control!$C$14/180*PI())+(layout!J43-$G$14)*SIN(control!$C$14/180*PI())&gt;0</f>
        <v>1</v>
      </c>
      <c r="M43" s="29">
        <f ca="1">SQRT(($I43-M$15)^2+($J43-N$15)^2)</f>
        <v>25.6139474485528</v>
      </c>
      <c r="N43">
        <f ca="1">IF(M43=0,10^9,ATAN2($I43-M$15,$J43-N$15)/PI()*180)</f>
        <v>63.720768245149515</v>
      </c>
      <c r="O43">
        <f t="shared" ca="1" si="1"/>
        <v>63.720768245149515</v>
      </c>
      <c r="P43" s="2" t="str">
        <f t="shared" ca="1" si="2"/>
        <v/>
      </c>
      <c r="Q43" s="29">
        <f ca="1">SQRT(($I43-Q$15)^2+($J43-R$15)^2)</f>
        <v>37.358034723102321</v>
      </c>
      <c r="R43">
        <f ca="1">IF(Q43=0,0,DEGREES(ACOS(MAX(-1, MIN(1,((M$15-Q$15)*($I43-Q$15)+(N$15-R$15)*($J43-R$15))/(SQRT((M$15-Q$15)^2+(N$15-R$15)^2)*SQRT(($I43-Q$15)^2+($J43-R$15)^2)))))))</f>
        <v>33.906395589455265</v>
      </c>
      <c r="S43">
        <f t="shared" ca="1" si="3"/>
        <v>33.906395589455265</v>
      </c>
      <c r="T43" s="2" t="str">
        <f t="shared" ca="1" si="4"/>
        <v/>
      </c>
      <c r="U43" s="29">
        <f ca="1">SQRT(($I43-U$15)^2+($J43-V$15)^2)</f>
        <v>31.663086779399688</v>
      </c>
      <c r="V43">
        <f ca="1">IF(U43=0,0,DEGREES(ACOS(MAX(-1, MIN(1,((Q$15-U$15)*($I43-U$15)+(R$15-V$15)*($J43-V$15))/(SQRT((Q$15-U$15)^2+(R$15-V$15)^2)*SQRT(($I43-U$15)^2+($J43-V$15)^2)))))))</f>
        <v>113.7705345785245</v>
      </c>
      <c r="W43">
        <f t="shared" ca="1" si="5"/>
        <v>113.7705345785245</v>
      </c>
      <c r="X43" s="2">
        <f t="shared" ca="1" si="6"/>
        <v>31.663086779399688</v>
      </c>
      <c r="Y43" s="29">
        <f ca="1">SQRT(($I43-Y$15)^2+($J43-Z$15)^2)</f>
        <v>5.2508196559327764</v>
      </c>
      <c r="Z43">
        <f ca="1">IF(Y43=0,0,DEGREES(ACOS(MAX(-1, MIN(1,((U$15-Y$15)*($I43-Y$15)+(V$15-Z$15)*($J43-Z$15))/(SQRT((U$15-Y$15)^2+(V$15-Z$15)^2)*SQRT(($I43-Y$15)^2+($J43-Z$15)^2)))))))</f>
        <v>0</v>
      </c>
      <c r="AA43">
        <f t="shared" ca="1" si="7"/>
        <v>0</v>
      </c>
      <c r="AB43" s="2" t="str">
        <f t="shared" ca="1" si="8"/>
        <v/>
      </c>
      <c r="AC43" s="29">
        <f ca="1">SQRT(($I43-AC$15)^2+($J43-AD$15)^2)</f>
        <v>25.6139474485528</v>
      </c>
      <c r="AD43">
        <f ca="1">IF(AC43=0,0,DEGREES(ACOS(MAX(-1, MIN(1,((Y$15-AC$15)*($I43-AC$15)+(Z$15-AD$15)*($J43-AD$15))/(SQRT((Y$15-AC$15)^2+(Z$15-AD$15)^2)*SQRT(($I43-AC$15)^2+($J43-AD$15)^2)))))))</f>
        <v>11.779472549761273</v>
      </c>
      <c r="AE43">
        <f t="shared" ca="1" si="9"/>
        <v>11.779472549761273</v>
      </c>
      <c r="AF43" s="2" t="str">
        <f t="shared" ca="1" si="10"/>
        <v/>
      </c>
    </row>
    <row r="44" spans="1:32" x14ac:dyDescent="0.3">
      <c r="A44">
        <v>41</v>
      </c>
      <c r="B44">
        <f>control!$E$19*COS($A44/180*PI())+control!$B$19</f>
        <v>41.509419160445546</v>
      </c>
      <c r="C44" s="2">
        <f>control!$E$19*SIN($A44/180*PI())+control!$C$19</f>
        <v>-19.687881942018986</v>
      </c>
      <c r="H44" s="10" t="s">
        <v>92</v>
      </c>
      <c r="I44">
        <f ca="1">($K$13-K10)/(I10-$I$13)</f>
        <v>-7.5962236902134173</v>
      </c>
      <c r="J44">
        <f ca="1">(I10*$K$13-$I$13*K10)/(I10-$I$13)</f>
        <v>-11.204275902684937</v>
      </c>
      <c r="K44" t="b">
        <f ca="1">(layout!I44-control!$B$19)*COS(control!$C$12/180*PI())+(layout!J44-control!$C$19)*SIN(control!$C$12/180*PI())&gt;0</f>
        <v>1</v>
      </c>
      <c r="L44" t="b">
        <f ca="1">(layout!I44-$F$14)*COS(control!$C$14/180*PI())+(layout!J44-$G$14)*SIN(control!$C$14/180*PI())&gt;0</f>
        <v>1</v>
      </c>
      <c r="M44" s="29">
        <f ca="1">SQRT(($I44-M$15)^2+($J44-N$15)^2)</f>
        <v>27.373911854741142</v>
      </c>
      <c r="N44">
        <f ca="1">IF(M44=0,10^9,ATAN2($I44-M$15,$J44-N$15)/PI()*180)</f>
        <v>54.20943523666233</v>
      </c>
      <c r="O44">
        <f t="shared" ca="1" si="1"/>
        <v>54.20943523666233</v>
      </c>
      <c r="P44" s="2" t="str">
        <f t="shared" ca="1" si="2"/>
        <v/>
      </c>
      <c r="Q44" s="29">
        <f ca="1">SQRT(($I44-Q$15)^2+($J44-R$15)^2)</f>
        <v>32.820810064554472</v>
      </c>
      <c r="R44">
        <f ca="1">IF(Q44=0,0,DEGREES(ACOS(MAX(-1, MIN(1,((M$15-Q$15)*($I44-Q$15)+(N$15-R$15)*($J44-R$15))/(SQRT((M$15-Q$15)^2+(N$15-R$15)^2)*SQRT(($I44-Q$15)^2+($J44-R$15)^2)))))))</f>
        <v>36.09490833640843</v>
      </c>
      <c r="S44">
        <f t="shared" ca="1" si="3"/>
        <v>36.09490833640843</v>
      </c>
      <c r="T44" s="2" t="str">
        <f t="shared" ca="1" si="4"/>
        <v/>
      </c>
      <c r="U44" s="29">
        <f ca="1">SQRT(($I44-U$15)^2+($J44-V$15)^2)</f>
        <v>26.932855206971407</v>
      </c>
      <c r="V44">
        <f ca="1">IF(U44=0,0,DEGREES(ACOS(MAX(-1, MIN(1,((Q$15-U$15)*($I44-U$15)+(R$15-V$15)*($J44-V$15))/(SQRT((Q$15-U$15)^2+(R$15-V$15)^2)*SQRT(($I44-U$15)^2+($J44-V$15)^2)))))))</f>
        <v>113.77053457852449</v>
      </c>
      <c r="W44">
        <f t="shared" ca="1" si="5"/>
        <v>113.77053457852449</v>
      </c>
      <c r="X44" s="2">
        <f t="shared" ca="1" si="6"/>
        <v>26.932855206971407</v>
      </c>
      <c r="Y44" s="29">
        <f ca="1">SQRT(($I44-Y$15)^2+($J44-Z$15)^2)</f>
        <v>9.9810512283610553</v>
      </c>
      <c r="Z44">
        <f ca="1">IF(Y44=0,0,DEGREES(ACOS(MAX(-1, MIN(1,((U$15-Y$15)*($I44-Y$15)+(V$15-Z$15)*($J44-Z$15))/(SQRT((U$15-Y$15)^2+(V$15-Z$15)^2)*SQRT(($I44-Y$15)^2+($J44-Z$15)^2)))))))</f>
        <v>0</v>
      </c>
      <c r="AA44">
        <f t="shared" ca="1" si="7"/>
        <v>0</v>
      </c>
      <c r="AB44" s="2" t="str">
        <f t="shared" ca="1" si="8"/>
        <v/>
      </c>
      <c r="AC44" s="29">
        <f ca="1">SQRT(($I44-AC$15)^2+($J44-AD$15)^2)</f>
        <v>27.373911854741142</v>
      </c>
      <c r="AD44">
        <f ca="1">IF(AC44=0,0,DEGREES(ACOS(MAX(-1, MIN(1,((Y$15-AC$15)*($I44-AC$15)+(Z$15-AD$15)*($J44-AD$15))/(SQRT((Y$15-AC$15)^2+(Z$15-AD$15)^2)*SQRT(($I44-AC$15)^2+($J44-AD$15)^2)))))))</f>
        <v>21.29080555824844</v>
      </c>
      <c r="AE44">
        <f t="shared" ca="1" si="9"/>
        <v>21.29080555824844</v>
      </c>
      <c r="AF44" s="2" t="str">
        <f t="shared" ca="1" si="10"/>
        <v/>
      </c>
    </row>
    <row r="45" spans="1:32" x14ac:dyDescent="0.3">
      <c r="A45">
        <v>42</v>
      </c>
      <c r="B45">
        <f>control!$E$19*COS($A45/180*PI())+control!$B$19</f>
        <v>41.486289650954788</v>
      </c>
      <c r="C45" s="2">
        <f>control!$E$19*SIN($A45/180*PI())+control!$C$19</f>
        <v>-19.661738787282282</v>
      </c>
      <c r="H45" s="10" t="s">
        <v>100</v>
      </c>
      <c r="I45">
        <f ca="1">($K$13-L7)/(J7-$I$13)</f>
        <v>6.9808652395863016</v>
      </c>
      <c r="J45">
        <f ca="1">(J7*$K$13-$I$13*L7)/(J7-$I$13)</f>
        <v>-13.583731735263662</v>
      </c>
      <c r="K45" t="b">
        <f ca="1">(layout!I45-control!$B$19)*COS(control!$C$12/180*PI())+(layout!J45-control!$C$19)*SIN(control!$C$12/180*PI())&gt;0</f>
        <v>1</v>
      </c>
      <c r="L45" t="b">
        <f ca="1">(layout!I45-$F$14)*COS(control!$C$14/180*PI())+(layout!J45-$G$14)*SIN(control!$C$14/180*PI())&gt;0</f>
        <v>1</v>
      </c>
      <c r="M45" s="29">
        <f ca="1">SQRT(($I45-M$15)^2+($J45-N$15)^2)</f>
        <v>36.449163645767506</v>
      </c>
      <c r="N45">
        <f ca="1">IF(M45=0,10^9,ATAN2($I45-M$15,$J45-N$15)/PI()*180)</f>
        <v>32.950406177951514</v>
      </c>
      <c r="O45">
        <f t="shared" ca="1" si="1"/>
        <v>32.950406177951514</v>
      </c>
      <c r="P45" s="2" t="str">
        <f t="shared" ca="1" si="2"/>
        <v/>
      </c>
      <c r="Q45" s="29">
        <f ca="1">SQRT(($I45-Q$15)^2+($J45-R$15)^2)</f>
        <v>19.260732557281735</v>
      </c>
      <c r="R45">
        <f ca="1">IF(Q45=0,0,DEGREES(ACOS(MAX(-1, MIN(1,((M$15-Q$15)*($I45-Q$15)+(N$15-R$15)*($J45-R$15))/(SQRT((M$15-Q$15)^2+(N$15-R$15)^2)*SQRT(($I45-Q$15)^2+($J45-R$15)^2)))))))</f>
        <v>49.467115587783084</v>
      </c>
      <c r="S45">
        <f t="shared" ca="1" si="3"/>
        <v>49.467115587783084</v>
      </c>
      <c r="T45" s="2" t="str">
        <f t="shared" ca="1" si="4"/>
        <v/>
      </c>
      <c r="U45" s="29">
        <f ca="1">SQRT(($I45-U$15)^2+($J45-V$15)^2)</f>
        <v>12.162840591999545</v>
      </c>
      <c r="V45">
        <f ca="1">IF(U45=0,0,DEGREES(ACOS(MAX(-1, MIN(1,((Q$15-U$15)*($I45-U$15)+(R$15-V$15)*($J45-V$15))/(SQRT((Q$15-U$15)^2+(R$15-V$15)^2)*SQRT(($I45-U$15)^2+($J45-V$15)^2)))))))</f>
        <v>113.7705345785245</v>
      </c>
      <c r="W45">
        <f t="shared" ca="1" si="5"/>
        <v>113.7705345785245</v>
      </c>
      <c r="X45" s="2">
        <f t="shared" ca="1" si="6"/>
        <v>12.162840591999545</v>
      </c>
      <c r="Y45" s="29">
        <f ca="1">SQRT(($I45-Y$15)^2+($J45-Z$15)^2)</f>
        <v>24.751065843332917</v>
      </c>
      <c r="Z45">
        <f ca="1">IF(Y45=0,0,DEGREES(ACOS(MAX(-1, MIN(1,((U$15-Y$15)*($I45-Y$15)+(V$15-Z$15)*($J45-Z$15))/(SQRT((U$15-Y$15)^2+(V$15-Z$15)^2)*SQRT(($I45-Y$15)^2+($J45-Z$15)^2)))))))</f>
        <v>0</v>
      </c>
      <c r="AA45">
        <f t="shared" ca="1" si="7"/>
        <v>0</v>
      </c>
      <c r="AB45" s="2" t="str">
        <f t="shared" ca="1" si="8"/>
        <v/>
      </c>
      <c r="AC45" s="29">
        <f ca="1">SQRT(($I45-AC$15)^2+($J45-AD$15)^2)</f>
        <v>36.449163645767506</v>
      </c>
      <c r="AD45">
        <f ca="1">IF(AC45=0,0,DEGREES(ACOS(MAX(-1, MIN(1,((Y$15-AC$15)*($I45-AC$15)+(Z$15-AD$15)*($J45-AD$15))/(SQRT((Y$15-AC$15)^2+(Z$15-AD$15)^2)*SQRT(($I45-AC$15)^2+($J45-AD$15)^2)))))))</f>
        <v>42.549834616959259</v>
      </c>
      <c r="AE45">
        <f t="shared" ca="1" si="9"/>
        <v>42.549834616959259</v>
      </c>
      <c r="AF45" s="2" t="str">
        <f t="shared" ca="1" si="10"/>
        <v/>
      </c>
    </row>
    <row r="46" spans="1:32" x14ac:dyDescent="0.3">
      <c r="A46">
        <v>43</v>
      </c>
      <c r="B46">
        <f>control!$E$19*COS($A46/180*PI())+control!$B$19</f>
        <v>41.46270740323834</v>
      </c>
      <c r="C46" s="2">
        <f>control!$E$19*SIN($A46/180*PI())+control!$C$19</f>
        <v>-19.636003279875002</v>
      </c>
      <c r="H46" s="10" t="s">
        <v>101</v>
      </c>
      <c r="I46">
        <f ca="1">($K$13-L8)/(J8-$I$13)</f>
        <v>11.271126994605478</v>
      </c>
      <c r="J46">
        <f ca="1">(J8*$K$13-$I$13*L8)/(J8-$I$13)</f>
        <v>-14.284042229727394</v>
      </c>
      <c r="K46" t="b">
        <f ca="1">(layout!I46-control!$B$19)*COS(control!$C$12/180*PI())+(layout!J46-control!$C$19)*SIN(control!$C$12/180*PI())&gt;0</f>
        <v>1</v>
      </c>
      <c r="L46" t="b">
        <f ca="1">(layout!I46-$F$14)*COS(control!$C$14/180*PI())+(layout!J46-$G$14)*SIN(control!$C$14/180*PI())&gt;0</f>
        <v>1</v>
      </c>
      <c r="M46" s="29">
        <f ca="1">SQRT(($I46-M$15)^2+($J46-N$15)^2)</f>
        <v>39.775806217194585</v>
      </c>
      <c r="N46">
        <f ca="1">IF(M46=0,10^9,ATAN2($I46-M$15,$J46-N$15)/PI()*180)</f>
        <v>28.738735631483827</v>
      </c>
      <c r="O46">
        <f t="shared" ca="1" si="1"/>
        <v>28.738735631483827</v>
      </c>
      <c r="P46" s="2" t="str">
        <f t="shared" ca="1" si="2"/>
        <v/>
      </c>
      <c r="Q46" s="29">
        <f ca="1">SQRT(($I46-Q$15)^2+($J46-R$15)^2)</f>
        <v>15.691532489060574</v>
      </c>
      <c r="R46">
        <f ca="1">IF(Q46=0,0,DEGREES(ACOS(MAX(-1, MIN(1,((M$15-Q$15)*($I46-Q$15)+(N$15-R$15)*($J46-R$15))/(SQRT((M$15-Q$15)^2+(N$15-R$15)^2)*SQRT(($I46-Q$15)^2+($J46-R$15)^2)))))))</f>
        <v>57.652297939078707</v>
      </c>
      <c r="S46">
        <f t="shared" ca="1" si="3"/>
        <v>57.652297939078707</v>
      </c>
      <c r="T46" s="2" t="str">
        <f t="shared" ca="1" si="4"/>
        <v/>
      </c>
      <c r="U46" s="29">
        <f ca="1">SQRT(($I46-U$15)^2+($J46-V$15)^2)</f>
        <v>7.8157978368341148</v>
      </c>
      <c r="V46">
        <f ca="1">IF(U46=0,0,DEGREES(ACOS(MAX(-1, MIN(1,((Q$15-U$15)*($I46-U$15)+(R$15-V$15)*($J46-V$15))/(SQRT((Q$15-U$15)^2+(R$15-V$15)^2)*SQRT(($I46-U$15)^2+($J46-V$15)^2)))))))</f>
        <v>113.77053457852449</v>
      </c>
      <c r="W46">
        <f t="shared" ca="1" si="5"/>
        <v>113.77053457852449</v>
      </c>
      <c r="X46" s="2">
        <f t="shared" ca="1" si="6"/>
        <v>7.8157978368341148</v>
      </c>
      <c r="Y46" s="29">
        <f ca="1">SQRT(($I46-Y$15)^2+($J46-Z$15)^2)</f>
        <v>29.098108598498349</v>
      </c>
      <c r="Z46">
        <f ca="1">IF(Y46=0,0,DEGREES(ACOS(MAX(-1, MIN(1,((U$15-Y$15)*($I46-Y$15)+(V$15-Z$15)*($J46-Z$15))/(SQRT((U$15-Y$15)^2+(V$15-Z$15)^2)*SQRT(($I46-Y$15)^2+($J46-Z$15)^2)))))))</f>
        <v>0</v>
      </c>
      <c r="AA46">
        <f t="shared" ca="1" si="7"/>
        <v>0</v>
      </c>
      <c r="AB46" s="2" t="str">
        <f t="shared" ca="1" si="8"/>
        <v/>
      </c>
      <c r="AC46" s="29">
        <f ca="1">SQRT(($I46-AC$15)^2+($J46-AD$15)^2)</f>
        <v>39.775806217194585</v>
      </c>
      <c r="AD46">
        <f ca="1">IF(AC46=0,0,DEGREES(ACOS(MAX(-1, MIN(1,((Y$15-AC$15)*($I46-AC$15)+(Z$15-AD$15)*($J46-AD$15))/(SQRT((Y$15-AC$15)^2+(Z$15-AD$15)^2)*SQRT(($I46-AC$15)^2+($J46-AD$15)^2)))))))</f>
        <v>46.761505163426953</v>
      </c>
      <c r="AE46">
        <f t="shared" ca="1" si="9"/>
        <v>46.761505163426953</v>
      </c>
      <c r="AF46" s="2" t="str">
        <f t="shared" ca="1" si="10"/>
        <v/>
      </c>
    </row>
    <row r="47" spans="1:32" x14ac:dyDescent="0.3">
      <c r="A47">
        <v>44</v>
      </c>
      <c r="B47">
        <f>control!$E$19*COS($A47/180*PI())+control!$B$19</f>
        <v>41.438679600677304</v>
      </c>
      <c r="C47" s="2">
        <f>control!$E$19*SIN($A47/180*PI())+control!$C$19</f>
        <v>-19.610683259082005</v>
      </c>
      <c r="H47" s="10" t="s">
        <v>102</v>
      </c>
      <c r="I47">
        <f ca="1">($K$13-L9)/(J9-$I$13)</f>
        <v>-13.156640838465115</v>
      </c>
      <c r="J47">
        <f ca="1">(J9*$K$13-$I$13*L9)/(J9-$I$13)</f>
        <v>-10.296634666585264</v>
      </c>
      <c r="K47" t="b">
        <f ca="1">(layout!I47-control!$B$19)*COS(control!$C$12/180*PI())+(layout!J47-control!$C$19)*SIN(control!$C$12/180*PI())&gt;0</f>
        <v>1</v>
      </c>
      <c r="L47" t="b">
        <f ca="1">(layout!I47-$F$14)*COS(control!$C$14/180*PI())+(layout!J47-$G$14)*SIN(control!$C$14/180*PI())&gt;0</f>
        <v>1</v>
      </c>
      <c r="M47" s="29">
        <f ca="1">SQRT(($I47-M$15)^2+($J47-N$15)^2)</f>
        <v>25.364309273108109</v>
      </c>
      <c r="N47">
        <f ca="1">IF(M47=0,10^9,ATAN2($I47-M$15,$J47-N$15)/PI()*180)</f>
        <v>65.673405695669146</v>
      </c>
      <c r="O47">
        <f t="shared" ca="1" si="1"/>
        <v>65.673405695669146</v>
      </c>
      <c r="P47" s="2" t="str">
        <f t="shared" ca="1" si="2"/>
        <v/>
      </c>
      <c r="Q47" s="29">
        <f ca="1">SQRT(($I47-Q$15)^2+($J47-R$15)^2)</f>
        <v>38.230258981662772</v>
      </c>
      <c r="R47">
        <f ca="1">IF(Q47=0,0,DEGREES(ACOS(MAX(-1, MIN(1,((M$15-Q$15)*($I47-Q$15)+(N$15-R$15)*($J47-R$15))/(SQRT((M$15-Q$15)^2+(N$15-R$15)^2)*SQRT(($I47-Q$15)^2+($J47-R$15)^2)))))))</f>
        <v>33.547500760854774</v>
      </c>
      <c r="S47">
        <f t="shared" ca="1" si="3"/>
        <v>33.547500760854774</v>
      </c>
      <c r="T47" s="2" t="str">
        <f t="shared" ca="1" si="4"/>
        <v/>
      </c>
      <c r="U47" s="29">
        <f ca="1">SQRT(($I47-U$15)^2+($J47-V$15)^2)</f>
        <v>32.566863680167032</v>
      </c>
      <c r="V47">
        <f ca="1">IF(U47=0,0,DEGREES(ACOS(MAX(-1, MIN(1,((Q$15-U$15)*($I47-U$15)+(R$15-V$15)*($J47-V$15))/(SQRT((Q$15-U$15)^2+(R$15-V$15)^2)*SQRT(($I47-U$15)^2+($J47-V$15)^2)))))))</f>
        <v>113.7705345785245</v>
      </c>
      <c r="W47">
        <f t="shared" ca="1" si="5"/>
        <v>113.7705345785245</v>
      </c>
      <c r="X47" s="2">
        <f t="shared" ca="1" si="6"/>
        <v>32.566863680167032</v>
      </c>
      <c r="Y47" s="29">
        <f ca="1">SQRT(($I47-Y$15)^2+($J47-Z$15)^2)</f>
        <v>4.3470427551654316</v>
      </c>
      <c r="Z47">
        <f ca="1">IF(Y47=0,0,DEGREES(ACOS(MAX(-1, MIN(1,((U$15-Y$15)*($I47-Y$15)+(V$15-Z$15)*($J47-Z$15))/(SQRT((U$15-Y$15)^2+(V$15-Z$15)^2)*SQRT(($I47-Y$15)^2+($J47-Z$15)^2)))))))</f>
        <v>0</v>
      </c>
      <c r="AA47">
        <f t="shared" ca="1" si="7"/>
        <v>0</v>
      </c>
      <c r="AB47" s="2" t="str">
        <f t="shared" ca="1" si="8"/>
        <v/>
      </c>
      <c r="AC47" s="29">
        <f ca="1">SQRT(($I47-AC$15)^2+($J47-AD$15)^2)</f>
        <v>25.364309273108109</v>
      </c>
      <c r="AD47">
        <f ca="1">IF(AC47=0,0,DEGREES(ACOS(MAX(-1, MIN(1,((Y$15-AC$15)*($I47-AC$15)+(Z$15-AD$15)*($J47-AD$15))/(SQRT((Y$15-AC$15)^2+(Z$15-AD$15)^2)*SQRT(($I47-AC$15)^2+($J47-AD$15)^2)))))))</f>
        <v>9.826835099241567</v>
      </c>
      <c r="AE47">
        <f t="shared" ca="1" si="9"/>
        <v>9.826835099241567</v>
      </c>
      <c r="AF47" s="2" t="str">
        <f t="shared" ca="1" si="10"/>
        <v/>
      </c>
    </row>
    <row r="48" spans="1:32" x14ac:dyDescent="0.3">
      <c r="A48">
        <v>45</v>
      </c>
      <c r="B48">
        <f>control!$E$19*COS($A48/180*PI())+control!$B$19</f>
        <v>41.414213562373092</v>
      </c>
      <c r="C48" s="2">
        <f>control!$E$19*SIN($A48/180*PI())+control!$C$19</f>
        <v>-19.585786437626904</v>
      </c>
      <c r="H48" s="10" t="s">
        <v>103</v>
      </c>
      <c r="I48">
        <f ca="1">($K$13-L10)/(J10-$I$13)</f>
        <v>-17.446902593484293</v>
      </c>
      <c r="J48">
        <f ca="1">(J10*$K$13-$I$13*L10)/(J10-$I$13)</f>
        <v>-9.5963241721215322</v>
      </c>
      <c r="K48" t="b">
        <f ca="1">(layout!I48-control!$B$19)*COS(control!$C$12/180*PI())+(layout!J48-control!$C$19)*SIN(control!$C$12/180*PI())&gt;0</f>
        <v>1</v>
      </c>
      <c r="L48" t="b">
        <f ca="1">(layout!I48-$F$14)*COS(control!$C$14/180*PI())+(layout!J48-$G$14)*SIN(control!$C$14/180*PI())&gt;0</f>
        <v>1</v>
      </c>
      <c r="M48" s="30">
        <f ca="1">SQRT(($I48-M$15)^2+($J48-N$15)^2)</f>
        <v>24.595992317118821</v>
      </c>
      <c r="N48" s="6">
        <f ca="1">IF(M48=0,10^9,ATAN2($I48-M$15,$J48-N$15)/PI()*180)</f>
        <v>75.500240794910781</v>
      </c>
      <c r="O48" s="6">
        <f t="shared" ca="1" si="1"/>
        <v>75.500240794910781</v>
      </c>
      <c r="P48" s="8" t="str">
        <f t="shared" ca="1" si="2"/>
        <v/>
      </c>
      <c r="Q48" s="30">
        <f ca="1">SQRT(($I48-Q$15)^2+($J48-R$15)^2)</f>
        <v>42.443989109256236</v>
      </c>
      <c r="R48" s="6">
        <f ca="1">IF(Q48=0,0,DEGREES(ACOS(MAX(-1, MIN(1,((M$15-Q$15)*($I48-Q$15)+(N$15-R$15)*($J48-R$15))/(SQRT((M$15-Q$15)^2+(N$15-R$15)^2)*SQRT(($I48-Q$15)^2+($J48-R$15)^2)))))))</f>
        <v>32.027948030957489</v>
      </c>
      <c r="S48" s="6">
        <f t="shared" ca="1" si="3"/>
        <v>32.027948030957489</v>
      </c>
      <c r="T48" s="8" t="str">
        <f t="shared" ca="1" si="4"/>
        <v/>
      </c>
      <c r="U48" s="30">
        <f ca="1">SQRT(($I48-U$15)^2+($J48-V$15)^2)</f>
        <v>36.913906435332464</v>
      </c>
      <c r="V48" s="6">
        <f ca="1">IF(U48=0,0,DEGREES(ACOS(MAX(-1, MIN(1,((Q$15-U$15)*($I48-U$15)+(R$15-V$15)*($J48-V$15))/(SQRT((Q$15-U$15)^2+(R$15-V$15)^2)*SQRT(($I48-U$15)^2+($J48-V$15)^2)))))))</f>
        <v>113.7705345785245</v>
      </c>
      <c r="W48" s="6">
        <f t="shared" ca="1" si="5"/>
        <v>113.7705345785245</v>
      </c>
      <c r="X48" s="8">
        <f t="shared" ca="1" si="6"/>
        <v>36.913906435332464</v>
      </c>
      <c r="Y48" s="30">
        <f ca="1">SQRT(($I48-Y$15)^2+($J48-Z$15)^2)</f>
        <v>0</v>
      </c>
      <c r="Z48" s="6">
        <f ca="1">IF(Y48=0,0,DEGREES(ACOS(MAX(-1, MIN(1,((U$15-Y$15)*($I48-Y$15)+(V$15-Z$15)*($J48-Z$15))/(SQRT((U$15-Y$15)^2+(V$15-Z$15)^2)*SQRT(($I48-Y$15)^2+($J48-Z$15)^2)))))))</f>
        <v>0</v>
      </c>
      <c r="AA48" s="6">
        <f t="shared" ca="1" si="7"/>
        <v>0</v>
      </c>
      <c r="AB48" s="8" t="str">
        <f t="shared" ca="1" si="8"/>
        <v/>
      </c>
      <c r="AC48" s="30">
        <f ca="1">SQRT(($I48-AC$15)^2+($J48-AD$15)^2)</f>
        <v>24.595992317118821</v>
      </c>
      <c r="AD48" s="6">
        <f ca="1">IF(AC48=0,0,DEGREES(ACOS(MAX(-1, MIN(1,((Y$15-AC$15)*($I48-AC$15)+(Z$15-AD$15)*($J48-AD$15))/(SQRT((Y$15-AC$15)^2+(Z$15-AD$15)^2)*SQRT(($I48-AC$15)^2+($J48-AD$15)^2)))))))</f>
        <v>0</v>
      </c>
      <c r="AE48" s="6">
        <f t="shared" ca="1" si="9"/>
        <v>0</v>
      </c>
      <c r="AF48" s="8" t="str">
        <f t="shared" ca="1" si="10"/>
        <v/>
      </c>
    </row>
    <row r="49" spans="1:15" x14ac:dyDescent="0.3">
      <c r="A49">
        <v>46</v>
      </c>
      <c r="B49">
        <f>control!$E$19*COS($A49/180*PI())+control!$B$19</f>
        <v>41.389316740917998</v>
      </c>
      <c r="C49" s="2">
        <f>control!$E$19*SIN($A49/180*PI())+control!$C$19</f>
        <v>-19.561320399322696</v>
      </c>
      <c r="K49" s="31" t="b">
        <f ca="1">AND(K17:L48)</f>
        <v>1</v>
      </c>
      <c r="L49" s="31"/>
      <c r="O49" s="28"/>
    </row>
    <row r="50" spans="1:15" x14ac:dyDescent="0.3">
      <c r="A50">
        <v>47</v>
      </c>
      <c r="B50">
        <f>control!$E$19*COS($A50/180*PI())+control!$B$19</f>
        <v>41.363996720124995</v>
      </c>
      <c r="C50" s="2">
        <f>control!$E$19*SIN($A50/180*PI())+control!$C$19</f>
        <v>-19.53729259676166</v>
      </c>
      <c r="O50" s="28"/>
    </row>
    <row r="51" spans="1:15" x14ac:dyDescent="0.3">
      <c r="A51">
        <v>48</v>
      </c>
      <c r="B51">
        <f>control!$E$19*COS($A51/180*PI())+control!$B$19</f>
        <v>41.338261212717718</v>
      </c>
      <c r="C51" s="2">
        <f>control!$E$19*SIN($A51/180*PI())+control!$C$19</f>
        <v>-19.513710349045212</v>
      </c>
      <c r="O51" s="28"/>
    </row>
    <row r="52" spans="1:15" x14ac:dyDescent="0.3">
      <c r="A52">
        <v>49</v>
      </c>
      <c r="B52">
        <f>control!$E$19*COS($A52/180*PI())+control!$B$19</f>
        <v>41.312118057981017</v>
      </c>
      <c r="C52" s="2">
        <f>control!$E$19*SIN($A52/180*PI())+control!$C$19</f>
        <v>-19.490580839554458</v>
      </c>
      <c r="O52" s="28"/>
    </row>
    <row r="53" spans="1:15" x14ac:dyDescent="0.3">
      <c r="A53">
        <v>50</v>
      </c>
      <c r="B53">
        <f>control!$E$19*COS($A53/180*PI())+control!$B$19</f>
        <v>41.285575219373079</v>
      </c>
      <c r="C53" s="2">
        <f>control!$E$19*SIN($A53/180*PI())+control!$C$19</f>
        <v>-19.467911113762042</v>
      </c>
      <c r="O53" s="28"/>
    </row>
    <row r="54" spans="1:15" x14ac:dyDescent="0.3">
      <c r="A54">
        <v>51</v>
      </c>
      <c r="B54">
        <f>control!$E$19*COS($A54/180*PI())+control!$B$19</f>
        <v>41.258640782099675</v>
      </c>
      <c r="C54" s="2">
        <f>control!$E$19*SIN($A54/180*PI())+control!$C$19</f>
        <v>-19.44570807708606</v>
      </c>
      <c r="O54" s="28"/>
    </row>
    <row r="55" spans="1:15" x14ac:dyDescent="0.3">
      <c r="A55">
        <v>52</v>
      </c>
      <c r="B55">
        <f>control!$E$19*COS($A55/180*PI())+control!$B$19</f>
        <v>41.231322950651318</v>
      </c>
      <c r="C55" s="2">
        <f>control!$E$19*SIN($A55/180*PI())+control!$C$19</f>
        <v>-19.423978492786556</v>
      </c>
      <c r="O55" s="28"/>
    </row>
    <row r="56" spans="1:15" x14ac:dyDescent="0.3">
      <c r="A56">
        <v>53</v>
      </c>
      <c r="B56">
        <f>control!$E$19*COS($A56/180*PI())+control!$B$19</f>
        <v>41.203630046304099</v>
      </c>
      <c r="C56" s="2">
        <f>control!$E$19*SIN($A56/180*PI())+control!$C$19</f>
        <v>-19.402728979905415</v>
      </c>
      <c r="O56" s="28"/>
    </row>
    <row r="57" spans="1:15" x14ac:dyDescent="0.3">
      <c r="A57">
        <v>54</v>
      </c>
      <c r="B57">
        <f>control!$E$19*COS($A57/180*PI())+control!$B$19</f>
        <v>41.175570504584947</v>
      </c>
      <c r="C57" s="2">
        <f>control!$E$19*SIN($A57/180*PI())+control!$C$19</f>
        <v>-19.381966011250107</v>
      </c>
      <c r="O57" s="28"/>
    </row>
    <row r="58" spans="1:15" x14ac:dyDescent="0.3">
      <c r="A58">
        <v>55</v>
      </c>
      <c r="B58">
        <f>control!$E$19*COS($A58/180*PI())+control!$B$19</f>
        <v>41.147152872702094</v>
      </c>
      <c r="C58" s="2">
        <f>control!$E$19*SIN($A58/180*PI())+control!$C$19</f>
        <v>-19.361695911422018</v>
      </c>
      <c r="O58" s="28"/>
    </row>
    <row r="59" spans="1:15" x14ac:dyDescent="0.3">
      <c r="A59">
        <v>56</v>
      </c>
      <c r="B59">
        <f>control!$E$19*COS($A59/180*PI())+control!$B$19</f>
        <v>41.118385806941497</v>
      </c>
      <c r="C59" s="2">
        <f>control!$E$19*SIN($A59/180*PI())+control!$C$19</f>
        <v>-19.341924854889918</v>
      </c>
      <c r="O59" s="28"/>
    </row>
    <row r="60" spans="1:15" x14ac:dyDescent="0.3">
      <c r="A60">
        <v>57</v>
      </c>
      <c r="B60">
        <f>control!$E$19*COS($A60/180*PI())+control!$B$19</f>
        <v>41.089278070030055</v>
      </c>
      <c r="C60" s="2">
        <f>control!$E$19*SIN($A60/180*PI())+control!$C$19</f>
        <v>-19.322658864109151</v>
      </c>
      <c r="O60" s="28"/>
    </row>
    <row r="61" spans="1:15" x14ac:dyDescent="0.3">
      <c r="A61">
        <v>58</v>
      </c>
      <c r="B61">
        <f>control!$E$19*COS($A61/180*PI())+control!$B$19</f>
        <v>41.059838528466408</v>
      </c>
      <c r="C61" s="2">
        <f>control!$E$19*SIN($A61/180*PI())+control!$C$19</f>
        <v>-19.303903807687149</v>
      </c>
      <c r="O61" s="28"/>
    </row>
    <row r="62" spans="1:15" x14ac:dyDescent="0.3">
      <c r="A62">
        <v>59</v>
      </c>
      <c r="B62">
        <f>control!$E$19*COS($A62/180*PI())+control!$B$19</f>
        <v>41.030076149820111</v>
      </c>
      <c r="C62" s="2">
        <f>control!$E$19*SIN($A62/180*PI())+control!$C$19</f>
        <v>-19.285665398595775</v>
      </c>
      <c r="O62" s="28"/>
    </row>
    <row r="63" spans="1:15" x14ac:dyDescent="0.3">
      <c r="A63">
        <v>60</v>
      </c>
      <c r="B63">
        <f>control!$E$19*COS($A63/180*PI())+control!$B$19</f>
        <v>41</v>
      </c>
      <c r="C63" s="2">
        <f>control!$E$19*SIN($A63/180*PI())+control!$C$19</f>
        <v>-19.267949192431121</v>
      </c>
      <c r="O63" s="28"/>
    </row>
    <row r="64" spans="1:15" x14ac:dyDescent="0.3">
      <c r="A64">
        <v>61</v>
      </c>
      <c r="B64">
        <f>control!$E$19*COS($A64/180*PI())+control!$B$19</f>
        <v>40.969619240492676</v>
      </c>
      <c r="C64" s="2">
        <f>control!$E$19*SIN($A64/180*PI())+control!$C$19</f>
        <v>-19.25076058572121</v>
      </c>
      <c r="O64" s="28"/>
    </row>
    <row r="65" spans="1:15" x14ac:dyDescent="0.3">
      <c r="A65">
        <v>62</v>
      </c>
      <c r="B65">
        <f>control!$E$19*COS($A65/180*PI())+control!$B$19</f>
        <v>40.938943125571782</v>
      </c>
      <c r="C65" s="2">
        <f>control!$E$19*SIN($A65/180*PI())+control!$C$19</f>
        <v>-19.234104814282148</v>
      </c>
      <c r="O65" s="28"/>
    </row>
    <row r="66" spans="1:15" x14ac:dyDescent="0.3">
      <c r="A66">
        <v>63</v>
      </c>
      <c r="B66">
        <f>control!$E$19*COS($A66/180*PI())+control!$B$19</f>
        <v>40.907980999479093</v>
      </c>
      <c r="C66" s="2">
        <f>control!$E$19*SIN($A66/180*PI())+control!$C$19</f>
        <v>-19.217986951623264</v>
      </c>
      <c r="O66" s="28"/>
    </row>
    <row r="67" spans="1:15" x14ac:dyDescent="0.3">
      <c r="A67">
        <v>64</v>
      </c>
      <c r="B67">
        <f>control!$E$19*COS($A67/180*PI())+control!$B$19</f>
        <v>40.876742293578154</v>
      </c>
      <c r="C67" s="2">
        <f>control!$E$19*SIN($A67/180*PI())+control!$C$19</f>
        <v>-19.202411907401665</v>
      </c>
      <c r="O67" s="28"/>
    </row>
    <row r="68" spans="1:15" x14ac:dyDescent="0.3">
      <c r="A68">
        <v>65</v>
      </c>
      <c r="B68">
        <f>control!$E$19*COS($A68/180*PI())+control!$B$19</f>
        <v>40.845236523481397</v>
      </c>
      <c r="C68" s="2">
        <f>control!$E$19*SIN($A68/180*PI())+control!$C$19</f>
        <v>-19.187384425926702</v>
      </c>
      <c r="O68" s="28"/>
    </row>
    <row r="69" spans="1:15" x14ac:dyDescent="0.3">
      <c r="A69">
        <v>66</v>
      </c>
      <c r="B69">
        <f>control!$E$19*COS($A69/180*PI())+control!$B$19</f>
        <v>40.813473286151599</v>
      </c>
      <c r="C69" s="2">
        <f>control!$E$19*SIN($A69/180*PI())+control!$C$19</f>
        <v>-19.172909084714799</v>
      </c>
      <c r="O69" s="28"/>
    </row>
    <row r="70" spans="1:15" x14ac:dyDescent="0.3">
      <c r="A70">
        <v>67</v>
      </c>
      <c r="B70">
        <f>control!$E$19*COS($A70/180*PI())+control!$B$19</f>
        <v>40.78146225697855</v>
      </c>
      <c r="C70" s="2">
        <f>control!$E$19*SIN($A70/180*PI())+control!$C$19</f>
        <v>-19.158990293095119</v>
      </c>
      <c r="O70" s="28"/>
    </row>
    <row r="71" spans="1:15" x14ac:dyDescent="0.3">
      <c r="A71">
        <v>68</v>
      </c>
      <c r="B71">
        <f>control!$E$19*COS($A71/180*PI())+control!$B$19</f>
        <v>40.749213186831824</v>
      </c>
      <c r="C71" s="2">
        <f>control!$E$19*SIN($A71/180*PI())+control!$C$19</f>
        <v>-19.145632290866427</v>
      </c>
      <c r="O71" s="28"/>
    </row>
    <row r="72" spans="1:15" x14ac:dyDescent="0.3">
      <c r="A72">
        <v>69</v>
      </c>
      <c r="B72">
        <f>control!$E$19*COS($A72/180*PI())+control!$B$19</f>
        <v>40.716735899090601</v>
      </c>
      <c r="C72" s="2">
        <f>control!$E$19*SIN($A72/180*PI())+control!$C$19</f>
        <v>-19.132839147005598</v>
      </c>
      <c r="O72" s="28"/>
    </row>
    <row r="73" spans="1:15" x14ac:dyDescent="0.3">
      <c r="A73">
        <v>70</v>
      </c>
      <c r="B73">
        <f>control!$E$19*COS($A73/180*PI())+control!$B$19</f>
        <v>40.684040286651339</v>
      </c>
      <c r="C73" s="2">
        <f>control!$E$19*SIN($A73/180*PI())+control!$C$19</f>
        <v>-19.120614758428182</v>
      </c>
      <c r="O73" s="28"/>
    </row>
    <row r="74" spans="1:15" x14ac:dyDescent="0.3">
      <c r="A74">
        <v>71</v>
      </c>
      <c r="B74">
        <f>control!$E$19*COS($A74/180*PI())+control!$B$19</f>
        <v>40.65113630891431</v>
      </c>
      <c r="C74" s="2">
        <f>control!$E$19*SIN($A74/180*PI())+control!$C$19</f>
        <v>-19.108962848801365</v>
      </c>
      <c r="O74" s="28"/>
    </row>
    <row r="75" spans="1:15" x14ac:dyDescent="0.3">
      <c r="A75">
        <v>72</v>
      </c>
      <c r="B75">
        <f>control!$E$19*COS($A75/180*PI())+control!$B$19</f>
        <v>40.618033988749893</v>
      </c>
      <c r="C75" s="2">
        <f>control!$E$19*SIN($A75/180*PI())+control!$C$19</f>
        <v>-19.097886967409693</v>
      </c>
      <c r="O75" s="28"/>
    </row>
    <row r="76" spans="1:15" x14ac:dyDescent="0.3">
      <c r="A76">
        <v>73</v>
      </c>
      <c r="B76">
        <f>control!$E$19*COS($A76/180*PI())+control!$B$19</f>
        <v>40.584743409445473</v>
      </c>
      <c r="C76" s="2">
        <f>control!$E$19*SIN($A76/180*PI())+control!$C$19</f>
        <v>-19.087390488073929</v>
      </c>
      <c r="O76" s="28"/>
    </row>
    <row r="77" spans="1:15" x14ac:dyDescent="0.3">
      <c r="A77">
        <v>74</v>
      </c>
      <c r="B77">
        <f>control!$E$19*COS($A77/180*PI())+control!$B$19</f>
        <v>40.551274711634001</v>
      </c>
      <c r="C77" s="2">
        <f>control!$E$19*SIN($A77/180*PI())+control!$C$19</f>
        <v>-19.077476608123362</v>
      </c>
      <c r="O77" s="28"/>
    </row>
    <row r="78" spans="1:15" x14ac:dyDescent="0.3">
      <c r="A78">
        <v>75</v>
      </c>
      <c r="B78">
        <f>control!$E$19*COS($A78/180*PI())+control!$B$19</f>
        <v>40.51763809020504</v>
      </c>
      <c r="C78" s="2">
        <f>control!$E$19*SIN($A78/180*PI())+control!$C$19</f>
        <v>-19.068148347421864</v>
      </c>
      <c r="O78" s="28"/>
    </row>
    <row r="79" spans="1:15" x14ac:dyDescent="0.3">
      <c r="A79">
        <v>76</v>
      </c>
      <c r="B79">
        <f>control!$E$19*COS($A79/180*PI())+control!$B$19</f>
        <v>40.483843791199334</v>
      </c>
      <c r="C79" s="2">
        <f>control!$E$19*SIN($A79/180*PI())+control!$C$19</f>
        <v>-19.059408547448008</v>
      </c>
      <c r="O79" s="28"/>
    </row>
    <row r="80" spans="1:15" x14ac:dyDescent="0.3">
      <c r="A80">
        <v>77</v>
      </c>
      <c r="B80">
        <f>control!$E$19*COS($A80/180*PI())+control!$B$19</f>
        <v>40.449902108687731</v>
      </c>
      <c r="C80" s="2">
        <f>control!$E$19*SIN($A80/180*PI())+control!$C$19</f>
        <v>-19.051259870429529</v>
      </c>
      <c r="O80" s="28"/>
    </row>
    <row r="81" spans="1:15" x14ac:dyDescent="0.3">
      <c r="A81">
        <v>78</v>
      </c>
      <c r="B81">
        <f>control!$E$19*COS($A81/180*PI())+control!$B$19</f>
        <v>40.415823381635519</v>
      </c>
      <c r="C81" s="2">
        <f>control!$E$19*SIN($A81/180*PI())+control!$C$19</f>
        <v>-19.043704798532389</v>
      </c>
      <c r="O81" s="28"/>
    </row>
    <row r="82" spans="1:15" x14ac:dyDescent="0.3">
      <c r="A82">
        <v>79</v>
      </c>
      <c r="B82">
        <f>control!$E$19*COS($A82/180*PI())+control!$B$19</f>
        <v>40.381617990753092</v>
      </c>
      <c r="C82" s="2">
        <f>control!$E$19*SIN($A82/180*PI())+control!$C$19</f>
        <v>-19.036745633104672</v>
      </c>
      <c r="O82" s="28"/>
    </row>
    <row r="83" spans="1:15" x14ac:dyDescent="0.3">
      <c r="A83">
        <v>80</v>
      </c>
      <c r="B83">
        <f>control!$E$19*COS($A83/180*PI())+control!$B$19</f>
        <v>40.34729635533386</v>
      </c>
      <c r="C83" s="2">
        <f>control!$E$19*SIN($A83/180*PI())+control!$C$19</f>
        <v>-19.030384493975586</v>
      </c>
      <c r="O83" s="28"/>
    </row>
    <row r="84" spans="1:15" x14ac:dyDescent="0.3">
      <c r="A84">
        <v>81</v>
      </c>
      <c r="B84">
        <f>control!$E$19*COS($A84/180*PI())+control!$B$19</f>
        <v>40.312868930080462</v>
      </c>
      <c r="C84" s="2">
        <f>control!$E$19*SIN($A84/180*PI())+control!$C$19</f>
        <v>-19.024623318809724</v>
      </c>
      <c r="O84" s="28"/>
    </row>
    <row r="85" spans="1:15" x14ac:dyDescent="0.3">
      <c r="A85">
        <v>82</v>
      </c>
      <c r="B85">
        <f>control!$E$19*COS($A85/180*PI())+control!$B$19</f>
        <v>40.278346201920129</v>
      </c>
      <c r="C85" s="2">
        <f>control!$E$19*SIN($A85/180*PI())+control!$C$19</f>
        <v>-19.019463862516858</v>
      </c>
      <c r="O85" s="28"/>
    </row>
    <row r="86" spans="1:15" x14ac:dyDescent="0.3">
      <c r="A86">
        <v>83</v>
      </c>
      <c r="B86">
        <f>control!$E$19*COS($A86/180*PI())+control!$B$19</f>
        <v>40.243738686810296</v>
      </c>
      <c r="C86" s="2">
        <f>control!$E$19*SIN($A86/180*PI())+control!$C$19</f>
        <v>-19.014907696717355</v>
      </c>
      <c r="O86" s="28"/>
    </row>
    <row r="87" spans="1:15" x14ac:dyDescent="0.3">
      <c r="A87">
        <v>84</v>
      </c>
      <c r="B87">
        <f>control!$E$19*COS($A87/180*PI())+control!$B$19</f>
        <v>40.209056926535304</v>
      </c>
      <c r="C87" s="2">
        <f>control!$E$19*SIN($A87/180*PI())+control!$C$19</f>
        <v>-19.010956209263455</v>
      </c>
      <c r="O87" s="28"/>
    </row>
    <row r="88" spans="1:15" x14ac:dyDescent="0.3">
      <c r="A88">
        <v>85</v>
      </c>
      <c r="B88">
        <f>control!$E$19*COS($A88/180*PI())+control!$B$19</f>
        <v>40.174311485495316</v>
      </c>
      <c r="C88" s="2">
        <f>control!$E$19*SIN($A88/180*PI())+control!$C$19</f>
        <v>-19.007610603816509</v>
      </c>
      <c r="O88" s="28"/>
    </row>
    <row r="89" spans="1:15" x14ac:dyDescent="0.3">
      <c r="A89">
        <v>86</v>
      </c>
      <c r="B89">
        <f>control!$E$19*COS($A89/180*PI())+control!$B$19</f>
        <v>40.139512947488249</v>
      </c>
      <c r="C89" s="2">
        <f>control!$E$19*SIN($A89/180*PI())+control!$C$19</f>
        <v>-19.004871899480353</v>
      </c>
      <c r="O89" s="28"/>
    </row>
    <row r="90" spans="1:15" x14ac:dyDescent="0.3">
      <c r="A90">
        <v>87</v>
      </c>
      <c r="B90">
        <f>control!$E$19*COS($A90/180*PI())+control!$B$19</f>
        <v>40.104671912485891</v>
      </c>
      <c r="C90" s="2">
        <f>control!$E$19*SIN($A90/180*PI())+control!$C$19</f>
        <v>-19.002740930490852</v>
      </c>
      <c r="O90" s="28"/>
    </row>
    <row r="91" spans="1:15" x14ac:dyDescent="0.3">
      <c r="A91">
        <v>88</v>
      </c>
      <c r="B91">
        <f>control!$E$19*COS($A91/180*PI())+control!$B$19</f>
        <v>40.069798993405001</v>
      </c>
      <c r="C91" s="2">
        <f>control!$E$19*SIN($A91/180*PI())+control!$C$19</f>
        <v>-19.00121834596181</v>
      </c>
      <c r="O91" s="28"/>
    </row>
    <row r="92" spans="1:15" x14ac:dyDescent="0.3">
      <c r="A92">
        <v>89</v>
      </c>
      <c r="B92">
        <f>control!$E$19*COS($A92/180*PI())+control!$B$19</f>
        <v>40.034904812874565</v>
      </c>
      <c r="C92" s="2">
        <f>control!$E$19*SIN($A92/180*PI())+control!$C$19</f>
        <v>-19.000304609687216</v>
      </c>
      <c r="O92" s="28"/>
    </row>
    <row r="93" spans="1:15" x14ac:dyDescent="0.3">
      <c r="A93">
        <v>90</v>
      </c>
      <c r="B93">
        <f>control!$E$19*COS($A93/180*PI())+control!$B$19</f>
        <v>40</v>
      </c>
      <c r="C93" s="2">
        <f>control!$E$19*SIN($A93/180*PI())+control!$C$19</f>
        <v>-19</v>
      </c>
      <c r="O93" s="28"/>
    </row>
    <row r="94" spans="1:15" x14ac:dyDescent="0.3">
      <c r="A94">
        <v>91</v>
      </c>
      <c r="B94">
        <f>control!$E$19*COS($A94/180*PI())+control!$B$19</f>
        <v>39.965095187125435</v>
      </c>
      <c r="C94" s="2">
        <f>control!$E$19*SIN($A94/180*PI())+control!$C$19</f>
        <v>-19.000304609687216</v>
      </c>
      <c r="O94" s="28"/>
    </row>
    <row r="95" spans="1:15" x14ac:dyDescent="0.3">
      <c r="A95">
        <v>92</v>
      </c>
      <c r="B95">
        <f>control!$E$19*COS($A95/180*PI())+control!$B$19</f>
        <v>39.930201006594999</v>
      </c>
      <c r="C95" s="2">
        <f>control!$E$19*SIN($A95/180*PI())+control!$C$19</f>
        <v>-19.00121834596181</v>
      </c>
      <c r="O95" s="28"/>
    </row>
    <row r="96" spans="1:15" x14ac:dyDescent="0.3">
      <c r="A96">
        <v>93</v>
      </c>
      <c r="B96">
        <f>control!$E$19*COS($A96/180*PI())+control!$B$19</f>
        <v>39.895328087514109</v>
      </c>
      <c r="C96" s="2">
        <f>control!$E$19*SIN($A96/180*PI())+control!$C$19</f>
        <v>-19.002740930490852</v>
      </c>
      <c r="O96" s="28"/>
    </row>
    <row r="97" spans="1:15" x14ac:dyDescent="0.3">
      <c r="A97">
        <v>94</v>
      </c>
      <c r="B97">
        <f>control!$E$19*COS($A97/180*PI())+control!$B$19</f>
        <v>39.860487052511751</v>
      </c>
      <c r="C97" s="2">
        <f>control!$E$19*SIN($A97/180*PI())+control!$C$19</f>
        <v>-19.004871899480353</v>
      </c>
      <c r="O97" s="28"/>
    </row>
    <row r="98" spans="1:15" x14ac:dyDescent="0.3">
      <c r="A98">
        <v>95</v>
      </c>
      <c r="B98">
        <f>control!$E$19*COS($A98/180*PI())+control!$B$19</f>
        <v>39.825688514504684</v>
      </c>
      <c r="C98" s="2">
        <f>control!$E$19*SIN($A98/180*PI())+control!$C$19</f>
        <v>-19.007610603816509</v>
      </c>
      <c r="O98" s="28"/>
    </row>
    <row r="99" spans="1:15" x14ac:dyDescent="0.3">
      <c r="A99">
        <v>96</v>
      </c>
      <c r="B99">
        <f>control!$E$19*COS($A99/180*PI())+control!$B$19</f>
        <v>39.790943073464696</v>
      </c>
      <c r="C99" s="2">
        <f>control!$E$19*SIN($A99/180*PI())+control!$C$19</f>
        <v>-19.010956209263455</v>
      </c>
      <c r="O99" s="28"/>
    </row>
    <row r="100" spans="1:15" x14ac:dyDescent="0.3">
      <c r="A100">
        <v>97</v>
      </c>
      <c r="B100">
        <f>control!$E$19*COS($A100/180*PI())+control!$B$19</f>
        <v>39.756261313189704</v>
      </c>
      <c r="C100" s="2">
        <f>control!$E$19*SIN($A100/180*PI())+control!$C$19</f>
        <v>-19.014907696717355</v>
      </c>
      <c r="O100" s="28"/>
    </row>
    <row r="101" spans="1:15" x14ac:dyDescent="0.3">
      <c r="A101">
        <v>98</v>
      </c>
      <c r="B101">
        <f>control!$E$19*COS($A101/180*PI())+control!$B$19</f>
        <v>39.721653798079871</v>
      </c>
      <c r="C101" s="2">
        <f>control!$E$19*SIN($A101/180*PI())+control!$C$19</f>
        <v>-19.019463862516858</v>
      </c>
      <c r="O101" s="28"/>
    </row>
    <row r="102" spans="1:15" x14ac:dyDescent="0.3">
      <c r="A102">
        <v>99</v>
      </c>
      <c r="B102">
        <f>control!$E$19*COS($A102/180*PI())+control!$B$19</f>
        <v>39.687131069919538</v>
      </c>
      <c r="C102" s="2">
        <f>control!$E$19*SIN($A102/180*PI())+control!$C$19</f>
        <v>-19.024623318809724</v>
      </c>
      <c r="O102" s="28"/>
    </row>
    <row r="103" spans="1:15" x14ac:dyDescent="0.3">
      <c r="A103">
        <v>100</v>
      </c>
      <c r="B103">
        <f>control!$E$19*COS($A103/180*PI())+control!$B$19</f>
        <v>39.65270364466614</v>
      </c>
      <c r="C103" s="2">
        <f>control!$E$19*SIN($A103/180*PI())+control!$C$19</f>
        <v>-19.030384493975586</v>
      </c>
      <c r="O103" s="28"/>
    </row>
    <row r="104" spans="1:15" x14ac:dyDescent="0.3">
      <c r="A104">
        <v>101</v>
      </c>
      <c r="B104">
        <f>control!$E$19*COS($A104/180*PI())+control!$B$19</f>
        <v>39.618382009246908</v>
      </c>
      <c r="C104" s="2">
        <f>control!$E$19*SIN($A104/180*PI())+control!$C$19</f>
        <v>-19.036745633104672</v>
      </c>
      <c r="O104" s="28"/>
    </row>
    <row r="105" spans="1:15" x14ac:dyDescent="0.3">
      <c r="A105">
        <v>102</v>
      </c>
      <c r="B105">
        <f>control!$E$19*COS($A105/180*PI())+control!$B$19</f>
        <v>39.584176618364481</v>
      </c>
      <c r="C105" s="2">
        <f>control!$E$19*SIN($A105/180*PI())+control!$C$19</f>
        <v>-19.043704798532389</v>
      </c>
      <c r="O105" s="28"/>
    </row>
    <row r="106" spans="1:15" x14ac:dyDescent="0.3">
      <c r="A106">
        <v>103</v>
      </c>
      <c r="B106">
        <f>control!$E$19*COS($A106/180*PI())+control!$B$19</f>
        <v>39.550097891312269</v>
      </c>
      <c r="C106" s="2">
        <f>control!$E$19*SIN($A106/180*PI())+control!$C$19</f>
        <v>-19.051259870429529</v>
      </c>
      <c r="O106" s="28"/>
    </row>
    <row r="107" spans="1:15" x14ac:dyDescent="0.3">
      <c r="A107">
        <v>104</v>
      </c>
      <c r="B107">
        <f>control!$E$19*COS($A107/180*PI())+control!$B$19</f>
        <v>39.516156208800666</v>
      </c>
      <c r="C107" s="2">
        <f>control!$E$19*SIN($A107/180*PI())+control!$C$19</f>
        <v>-19.059408547448008</v>
      </c>
      <c r="O107" s="28"/>
    </row>
    <row r="108" spans="1:15" x14ac:dyDescent="0.3">
      <c r="A108">
        <v>105</v>
      </c>
      <c r="B108">
        <f>control!$E$19*COS($A108/180*PI())+control!$B$19</f>
        <v>39.48236190979496</v>
      </c>
      <c r="C108" s="2">
        <f>control!$E$19*SIN($A108/180*PI())+control!$C$19</f>
        <v>-19.068148347421864</v>
      </c>
      <c r="O108" s="28"/>
    </row>
    <row r="109" spans="1:15" x14ac:dyDescent="0.3">
      <c r="A109">
        <v>106</v>
      </c>
      <c r="B109">
        <f>control!$E$19*COS($A109/180*PI())+control!$B$19</f>
        <v>39.448725288365999</v>
      </c>
      <c r="C109" s="2">
        <f>control!$E$19*SIN($A109/180*PI())+control!$C$19</f>
        <v>-19.077476608123362</v>
      </c>
      <c r="O109" s="28"/>
    </row>
    <row r="110" spans="1:15" x14ac:dyDescent="0.3">
      <c r="A110">
        <v>107</v>
      </c>
      <c r="B110">
        <f>control!$E$19*COS($A110/180*PI())+control!$B$19</f>
        <v>39.415256590554527</v>
      </c>
      <c r="C110" s="2">
        <f>control!$E$19*SIN($A110/180*PI())+control!$C$19</f>
        <v>-19.087390488073929</v>
      </c>
      <c r="O110" s="28"/>
    </row>
    <row r="111" spans="1:15" x14ac:dyDescent="0.3">
      <c r="A111">
        <v>108</v>
      </c>
      <c r="B111">
        <f>control!$E$19*COS($A111/180*PI())+control!$B$19</f>
        <v>39.381966011250107</v>
      </c>
      <c r="C111" s="2">
        <f>control!$E$19*SIN($A111/180*PI())+control!$C$19</f>
        <v>-19.097886967409693</v>
      </c>
      <c r="O111" s="28"/>
    </row>
    <row r="112" spans="1:15" x14ac:dyDescent="0.3">
      <c r="A112">
        <v>109</v>
      </c>
      <c r="B112">
        <f>control!$E$19*COS($A112/180*PI())+control!$B$19</f>
        <v>39.34886369108569</v>
      </c>
      <c r="C112" s="2">
        <f>control!$E$19*SIN($A112/180*PI())+control!$C$19</f>
        <v>-19.108962848801365</v>
      </c>
      <c r="O112" s="28"/>
    </row>
    <row r="113" spans="1:15" x14ac:dyDescent="0.3">
      <c r="A113">
        <v>110</v>
      </c>
      <c r="B113">
        <f>control!$E$19*COS($A113/180*PI())+control!$B$19</f>
        <v>39.315959713348661</v>
      </c>
      <c r="C113" s="2">
        <f>control!$E$19*SIN($A113/180*PI())+control!$C$19</f>
        <v>-19.120614758428182</v>
      </c>
      <c r="O113" s="28"/>
    </row>
    <row r="114" spans="1:15" x14ac:dyDescent="0.3">
      <c r="A114">
        <v>111</v>
      </c>
      <c r="B114">
        <f>control!$E$19*COS($A114/180*PI())+control!$B$19</f>
        <v>39.283264100909399</v>
      </c>
      <c r="C114" s="2">
        <f>control!$E$19*SIN($A114/180*PI())+control!$C$19</f>
        <v>-19.132839147005598</v>
      </c>
      <c r="O114" s="28"/>
    </row>
    <row r="115" spans="1:15" x14ac:dyDescent="0.3">
      <c r="A115">
        <v>112</v>
      </c>
      <c r="B115">
        <f>control!$E$19*COS($A115/180*PI())+control!$B$19</f>
        <v>39.250786813168176</v>
      </c>
      <c r="C115" s="2">
        <f>control!$E$19*SIN($A115/180*PI())+control!$C$19</f>
        <v>-19.145632290866423</v>
      </c>
      <c r="O115" s="28"/>
    </row>
    <row r="116" spans="1:15" x14ac:dyDescent="0.3">
      <c r="A116">
        <v>113</v>
      </c>
      <c r="B116">
        <f>control!$E$19*COS($A116/180*PI())+control!$B$19</f>
        <v>39.21853774302145</v>
      </c>
      <c r="C116" s="2">
        <f>control!$E$19*SIN($A116/180*PI())+control!$C$19</f>
        <v>-19.158990293095119</v>
      </c>
      <c r="O116" s="28"/>
    </row>
    <row r="117" spans="1:15" x14ac:dyDescent="0.3">
      <c r="A117">
        <v>114</v>
      </c>
      <c r="B117">
        <f>control!$E$19*COS($A117/180*PI())+control!$B$19</f>
        <v>39.186526713848401</v>
      </c>
      <c r="C117" s="2">
        <f>control!$E$19*SIN($A117/180*PI())+control!$C$19</f>
        <v>-19.172909084714799</v>
      </c>
      <c r="O117" s="28"/>
    </row>
    <row r="118" spans="1:15" x14ac:dyDescent="0.3">
      <c r="A118">
        <v>115</v>
      </c>
      <c r="B118">
        <f>control!$E$19*COS($A118/180*PI())+control!$B$19</f>
        <v>39.154763476518603</v>
      </c>
      <c r="C118" s="2">
        <f>control!$E$19*SIN($A118/180*PI())+control!$C$19</f>
        <v>-19.187384425926702</v>
      </c>
      <c r="O118" s="28"/>
    </row>
    <row r="119" spans="1:15" x14ac:dyDescent="0.3">
      <c r="A119">
        <v>116</v>
      </c>
      <c r="B119">
        <f>control!$E$19*COS($A119/180*PI())+control!$B$19</f>
        <v>39.123257706421846</v>
      </c>
      <c r="C119" s="2">
        <f>control!$E$19*SIN($A119/180*PI())+control!$C$19</f>
        <v>-19.202411907401665</v>
      </c>
      <c r="O119" s="28"/>
    </row>
    <row r="120" spans="1:15" x14ac:dyDescent="0.3">
      <c r="A120">
        <v>117</v>
      </c>
      <c r="B120">
        <f>control!$E$19*COS($A120/180*PI())+control!$B$19</f>
        <v>39.092019000520907</v>
      </c>
      <c r="C120" s="2">
        <f>control!$E$19*SIN($A120/180*PI())+control!$C$19</f>
        <v>-19.217986951623264</v>
      </c>
      <c r="O120" s="28"/>
    </row>
    <row r="121" spans="1:15" x14ac:dyDescent="0.3">
      <c r="A121">
        <v>118</v>
      </c>
      <c r="B121">
        <f>control!$E$19*COS($A121/180*PI())+control!$B$19</f>
        <v>39.061056874428218</v>
      </c>
      <c r="C121" s="2">
        <f>control!$E$19*SIN($A121/180*PI())+control!$C$19</f>
        <v>-19.234104814282144</v>
      </c>
      <c r="O121" s="28"/>
    </row>
    <row r="122" spans="1:15" x14ac:dyDescent="0.3">
      <c r="A122">
        <v>119</v>
      </c>
      <c r="B122">
        <f>control!$E$19*COS($A122/180*PI())+control!$B$19</f>
        <v>39.030380759507324</v>
      </c>
      <c r="C122" s="2">
        <f>control!$E$19*SIN($A122/180*PI())+control!$C$19</f>
        <v>-19.25076058572121</v>
      </c>
      <c r="O122" s="28"/>
    </row>
    <row r="123" spans="1:15" x14ac:dyDescent="0.3">
      <c r="A123">
        <v>120</v>
      </c>
      <c r="B123">
        <f>control!$E$19*COS($A123/180*PI())+control!$B$19</f>
        <v>39</v>
      </c>
      <c r="C123" s="2">
        <f>control!$E$19*SIN($A123/180*PI())+control!$C$19</f>
        <v>-19.267949192431121</v>
      </c>
      <c r="O123" s="28"/>
    </row>
    <row r="124" spans="1:15" x14ac:dyDescent="0.3">
      <c r="A124">
        <v>121</v>
      </c>
      <c r="B124">
        <f>control!$E$19*COS($A124/180*PI())+control!$B$19</f>
        <v>38.969923850179889</v>
      </c>
      <c r="C124" s="2">
        <f>control!$E$19*SIN($A124/180*PI())+control!$C$19</f>
        <v>-19.285665398595775</v>
      </c>
      <c r="O124" s="28"/>
    </row>
    <row r="125" spans="1:15" x14ac:dyDescent="0.3">
      <c r="A125">
        <v>122</v>
      </c>
      <c r="B125">
        <f>control!$E$19*COS($A125/180*PI())+control!$B$19</f>
        <v>38.940161471533592</v>
      </c>
      <c r="C125" s="2">
        <f>control!$E$19*SIN($A125/180*PI())+control!$C$19</f>
        <v>-19.303903807687149</v>
      </c>
      <c r="O125" s="28"/>
    </row>
    <row r="126" spans="1:15" x14ac:dyDescent="0.3">
      <c r="A126">
        <v>123</v>
      </c>
      <c r="B126">
        <f>control!$E$19*COS($A126/180*PI())+control!$B$19</f>
        <v>38.910721929969945</v>
      </c>
      <c r="C126" s="2">
        <f>control!$E$19*SIN($A126/180*PI())+control!$C$19</f>
        <v>-19.322658864109151</v>
      </c>
      <c r="O126" s="28"/>
    </row>
    <row r="127" spans="1:15" x14ac:dyDescent="0.3">
      <c r="A127">
        <v>124</v>
      </c>
      <c r="B127">
        <f>control!$E$19*COS($A127/180*PI())+control!$B$19</f>
        <v>38.881614193058503</v>
      </c>
      <c r="C127" s="2">
        <f>control!$E$19*SIN($A127/180*PI())+control!$C$19</f>
        <v>-19.341924854889918</v>
      </c>
      <c r="O127" s="28"/>
    </row>
    <row r="128" spans="1:15" x14ac:dyDescent="0.3">
      <c r="A128">
        <v>125</v>
      </c>
      <c r="B128">
        <f>control!$E$19*COS($A128/180*PI())+control!$B$19</f>
        <v>38.852847127297906</v>
      </c>
      <c r="C128" s="2">
        <f>control!$E$19*SIN($A128/180*PI())+control!$C$19</f>
        <v>-19.361695911422014</v>
      </c>
      <c r="O128" s="28"/>
    </row>
    <row r="129" spans="1:15" x14ac:dyDescent="0.3">
      <c r="A129">
        <v>126</v>
      </c>
      <c r="B129">
        <f>control!$E$19*COS($A129/180*PI())+control!$B$19</f>
        <v>38.824429495415053</v>
      </c>
      <c r="C129" s="2">
        <f>control!$E$19*SIN($A129/180*PI())+control!$C$19</f>
        <v>-19.381966011250107</v>
      </c>
      <c r="O129" s="28"/>
    </row>
    <row r="130" spans="1:15" x14ac:dyDescent="0.3">
      <c r="A130">
        <v>127</v>
      </c>
      <c r="B130">
        <f>control!$E$19*COS($A130/180*PI())+control!$B$19</f>
        <v>38.796369953695901</v>
      </c>
      <c r="C130" s="2">
        <f>control!$E$19*SIN($A130/180*PI())+control!$C$19</f>
        <v>-19.402728979905415</v>
      </c>
      <c r="O130" s="28"/>
    </row>
    <row r="131" spans="1:15" x14ac:dyDescent="0.3">
      <c r="A131">
        <v>128</v>
      </c>
      <c r="B131">
        <f>control!$E$19*COS($A131/180*PI())+control!$B$19</f>
        <v>38.768677049348682</v>
      </c>
      <c r="C131" s="2">
        <f>control!$E$19*SIN($A131/180*PI())+control!$C$19</f>
        <v>-19.423978492786556</v>
      </c>
      <c r="O131" s="28"/>
    </row>
    <row r="132" spans="1:15" x14ac:dyDescent="0.3">
      <c r="A132">
        <v>129</v>
      </c>
      <c r="B132">
        <f>control!$E$19*COS($A132/180*PI())+control!$B$19</f>
        <v>38.741359217900325</v>
      </c>
      <c r="C132" s="2">
        <f>control!$E$19*SIN($A132/180*PI())+control!$C$19</f>
        <v>-19.445708077086056</v>
      </c>
      <c r="O132" s="28"/>
    </row>
    <row r="133" spans="1:15" x14ac:dyDescent="0.3">
      <c r="A133">
        <v>130</v>
      </c>
      <c r="B133">
        <f>control!$E$19*COS($A133/180*PI())+control!$B$19</f>
        <v>38.714424780626921</v>
      </c>
      <c r="C133" s="2">
        <f>control!$E$19*SIN($A133/180*PI())+control!$C$19</f>
        <v>-19.467911113762042</v>
      </c>
      <c r="O133" s="28"/>
    </row>
    <row r="134" spans="1:15" x14ac:dyDescent="0.3">
      <c r="A134">
        <v>131</v>
      </c>
      <c r="B134">
        <f>control!$E$19*COS($A134/180*PI())+control!$B$19</f>
        <v>38.687881942018983</v>
      </c>
      <c r="C134" s="2">
        <f>control!$E$19*SIN($A134/180*PI())+control!$C$19</f>
        <v>-19.490580839554454</v>
      </c>
      <c r="O134" s="28"/>
    </row>
    <row r="135" spans="1:15" x14ac:dyDescent="0.3">
      <c r="A135">
        <v>132</v>
      </c>
      <c r="B135">
        <f>control!$E$19*COS($A135/180*PI())+control!$B$19</f>
        <v>38.661738787282282</v>
      </c>
      <c r="C135" s="2">
        <f>control!$E$19*SIN($A135/180*PI())+control!$C$19</f>
        <v>-19.513710349045212</v>
      </c>
      <c r="O135" s="28"/>
    </row>
    <row r="136" spans="1:15" x14ac:dyDescent="0.3">
      <c r="A136">
        <v>133</v>
      </c>
      <c r="B136">
        <f>control!$E$19*COS($A136/180*PI())+control!$B$19</f>
        <v>38.636003279875005</v>
      </c>
      <c r="C136" s="2">
        <f>control!$E$19*SIN($A136/180*PI())+control!$C$19</f>
        <v>-19.53729259676166</v>
      </c>
      <c r="O136" s="28"/>
    </row>
    <row r="137" spans="1:15" x14ac:dyDescent="0.3">
      <c r="A137">
        <v>134</v>
      </c>
      <c r="B137">
        <f>control!$E$19*COS($A137/180*PI())+control!$B$19</f>
        <v>38.610683259082002</v>
      </c>
      <c r="C137" s="2">
        <f>control!$E$19*SIN($A137/180*PI())+control!$C$19</f>
        <v>-19.561320399322696</v>
      </c>
      <c r="O137" s="28"/>
    </row>
    <row r="138" spans="1:15" x14ac:dyDescent="0.3">
      <c r="A138">
        <v>135</v>
      </c>
      <c r="B138">
        <f>control!$E$19*COS($A138/180*PI())+control!$B$19</f>
        <v>38.585786437626908</v>
      </c>
      <c r="C138" s="2">
        <f>control!$E$19*SIN($A138/180*PI())+control!$C$19</f>
        <v>-19.585786437626904</v>
      </c>
      <c r="O138" s="28"/>
    </row>
    <row r="139" spans="1:15" x14ac:dyDescent="0.3">
      <c r="A139">
        <v>136</v>
      </c>
      <c r="B139">
        <f>control!$E$19*COS($A139/180*PI())+control!$B$19</f>
        <v>38.561320399322696</v>
      </c>
      <c r="C139" s="2">
        <f>control!$E$19*SIN($A139/180*PI())+control!$C$19</f>
        <v>-19.610683259082005</v>
      </c>
      <c r="O139" s="28"/>
    </row>
    <row r="140" spans="1:15" x14ac:dyDescent="0.3">
      <c r="A140">
        <v>137</v>
      </c>
      <c r="B140">
        <f>control!$E$19*COS($A140/180*PI())+control!$B$19</f>
        <v>38.53729259676166</v>
      </c>
      <c r="C140" s="2">
        <f>control!$E$19*SIN($A140/180*PI())+control!$C$19</f>
        <v>-19.636003279875002</v>
      </c>
      <c r="O140" s="28"/>
    </row>
    <row r="141" spans="1:15" x14ac:dyDescent="0.3">
      <c r="A141">
        <v>138</v>
      </c>
      <c r="B141">
        <f>control!$E$19*COS($A141/180*PI())+control!$B$19</f>
        <v>38.513710349045212</v>
      </c>
      <c r="C141" s="2">
        <f>control!$E$19*SIN($A141/180*PI())+control!$C$19</f>
        <v>-19.661738787282285</v>
      </c>
      <c r="O141" s="28"/>
    </row>
    <row r="142" spans="1:15" x14ac:dyDescent="0.3">
      <c r="A142">
        <v>139</v>
      </c>
      <c r="B142">
        <f>control!$E$19*COS($A142/180*PI())+control!$B$19</f>
        <v>38.490580839554454</v>
      </c>
      <c r="C142" s="2">
        <f>control!$E$19*SIN($A142/180*PI())+control!$C$19</f>
        <v>-19.687881942018986</v>
      </c>
      <c r="O142" s="28"/>
    </row>
    <row r="143" spans="1:15" x14ac:dyDescent="0.3">
      <c r="A143">
        <v>140</v>
      </c>
      <c r="B143">
        <f>control!$E$19*COS($A143/180*PI())+control!$B$19</f>
        <v>38.467911113762042</v>
      </c>
      <c r="C143" s="2">
        <f>control!$E$19*SIN($A143/180*PI())+control!$C$19</f>
        <v>-19.714424780626921</v>
      </c>
      <c r="O143" s="28"/>
    </row>
    <row r="144" spans="1:15" x14ac:dyDescent="0.3">
      <c r="A144">
        <v>141</v>
      </c>
      <c r="B144">
        <f>control!$E$19*COS($A144/180*PI())+control!$B$19</f>
        <v>38.44570807708606</v>
      </c>
      <c r="C144" s="2">
        <f>control!$E$19*SIN($A144/180*PI())+control!$C$19</f>
        <v>-19.741359217900325</v>
      </c>
      <c r="O144" s="28"/>
    </row>
    <row r="145" spans="1:15" x14ac:dyDescent="0.3">
      <c r="A145">
        <v>142</v>
      </c>
      <c r="B145">
        <f>control!$E$19*COS($A145/180*PI())+control!$B$19</f>
        <v>38.423978492786553</v>
      </c>
      <c r="C145" s="2">
        <f>control!$E$19*SIN($A145/180*PI())+control!$C$19</f>
        <v>-19.768677049348682</v>
      </c>
      <c r="O145" s="28"/>
    </row>
    <row r="146" spans="1:15" x14ac:dyDescent="0.3">
      <c r="A146">
        <v>143</v>
      </c>
      <c r="B146">
        <f>control!$E$19*COS($A146/180*PI())+control!$B$19</f>
        <v>38.402728979905412</v>
      </c>
      <c r="C146" s="2">
        <f>control!$E$19*SIN($A146/180*PI())+control!$C$19</f>
        <v>-19.796369953695901</v>
      </c>
      <c r="O146" s="28"/>
    </row>
    <row r="147" spans="1:15" x14ac:dyDescent="0.3">
      <c r="A147">
        <v>144</v>
      </c>
      <c r="B147">
        <f>control!$E$19*COS($A147/180*PI())+control!$B$19</f>
        <v>38.381966011250107</v>
      </c>
      <c r="C147" s="2">
        <f>control!$E$19*SIN($A147/180*PI())+control!$C$19</f>
        <v>-19.824429495415053</v>
      </c>
      <c r="O147" s="28"/>
    </row>
    <row r="148" spans="1:15" x14ac:dyDescent="0.3">
      <c r="A148">
        <v>145</v>
      </c>
      <c r="B148">
        <f>control!$E$19*COS($A148/180*PI())+control!$B$19</f>
        <v>38.361695911422018</v>
      </c>
      <c r="C148" s="2">
        <f>control!$E$19*SIN($A148/180*PI())+control!$C$19</f>
        <v>-19.85284712729791</v>
      </c>
      <c r="O148" s="28"/>
    </row>
    <row r="149" spans="1:15" x14ac:dyDescent="0.3">
      <c r="A149">
        <v>146</v>
      </c>
      <c r="B149">
        <f>control!$E$19*COS($A149/180*PI())+control!$B$19</f>
        <v>38.341924854889918</v>
      </c>
      <c r="C149" s="2">
        <f>control!$E$19*SIN($A149/180*PI())+control!$C$19</f>
        <v>-19.881614193058507</v>
      </c>
      <c r="O149" s="28"/>
    </row>
    <row r="150" spans="1:15" x14ac:dyDescent="0.3">
      <c r="A150">
        <v>147</v>
      </c>
      <c r="B150">
        <f>control!$E$19*COS($A150/180*PI())+control!$B$19</f>
        <v>38.322658864109151</v>
      </c>
      <c r="C150" s="2">
        <f>control!$E$19*SIN($A150/180*PI())+control!$C$19</f>
        <v>-19.910721929969945</v>
      </c>
      <c r="O150" s="28"/>
    </row>
    <row r="151" spans="1:15" x14ac:dyDescent="0.3">
      <c r="A151">
        <v>148</v>
      </c>
      <c r="B151">
        <f>control!$E$19*COS($A151/180*PI())+control!$B$19</f>
        <v>38.303903807687149</v>
      </c>
      <c r="C151" s="2">
        <f>control!$E$19*SIN($A151/180*PI())+control!$C$19</f>
        <v>-19.940161471533589</v>
      </c>
      <c r="O151" s="28"/>
    </row>
    <row r="152" spans="1:15" x14ac:dyDescent="0.3">
      <c r="A152">
        <v>149</v>
      </c>
      <c r="B152">
        <f>control!$E$19*COS($A152/180*PI())+control!$B$19</f>
        <v>38.285665398595775</v>
      </c>
      <c r="C152" s="2">
        <f>control!$E$19*SIN($A152/180*PI())+control!$C$19</f>
        <v>-19.969923850179892</v>
      </c>
      <c r="O152" s="28"/>
    </row>
    <row r="153" spans="1:15" x14ac:dyDescent="0.3">
      <c r="A153">
        <v>150</v>
      </c>
      <c r="B153">
        <f>control!$E$19*COS($A153/180*PI())+control!$B$19</f>
        <v>38.267949192431125</v>
      </c>
      <c r="C153" s="2">
        <f>control!$E$19*SIN($A153/180*PI())+control!$C$19</f>
        <v>-20</v>
      </c>
      <c r="O153" s="28"/>
    </row>
    <row r="154" spans="1:15" x14ac:dyDescent="0.3">
      <c r="A154">
        <v>151</v>
      </c>
      <c r="B154">
        <f>control!$E$19*COS($A154/180*PI())+control!$B$19</f>
        <v>38.25076058572121</v>
      </c>
      <c r="C154" s="2">
        <f>control!$E$19*SIN($A154/180*PI())+control!$C$19</f>
        <v>-20.030380759507327</v>
      </c>
      <c r="O154" s="28"/>
    </row>
    <row r="155" spans="1:15" x14ac:dyDescent="0.3">
      <c r="A155">
        <v>152</v>
      </c>
      <c r="B155">
        <f>control!$E$19*COS($A155/180*PI())+control!$B$19</f>
        <v>38.234104814282148</v>
      </c>
      <c r="C155" s="2">
        <f>control!$E$19*SIN($A155/180*PI())+control!$C$19</f>
        <v>-20.061056874428218</v>
      </c>
      <c r="O155" s="28"/>
    </row>
    <row r="156" spans="1:15" x14ac:dyDescent="0.3">
      <c r="A156">
        <v>153</v>
      </c>
      <c r="B156">
        <f>control!$E$19*COS($A156/180*PI())+control!$B$19</f>
        <v>38.217986951623267</v>
      </c>
      <c r="C156" s="2">
        <f>control!$E$19*SIN($A156/180*PI())+control!$C$19</f>
        <v>-20.092019000520907</v>
      </c>
      <c r="O156" s="28"/>
    </row>
    <row r="157" spans="1:15" x14ac:dyDescent="0.3">
      <c r="A157">
        <v>154</v>
      </c>
      <c r="B157">
        <f>control!$E$19*COS($A157/180*PI())+control!$B$19</f>
        <v>38.202411907401668</v>
      </c>
      <c r="C157" s="2">
        <f>control!$E$19*SIN($A157/180*PI())+control!$C$19</f>
        <v>-20.123257706421846</v>
      </c>
      <c r="O157" s="28"/>
    </row>
    <row r="158" spans="1:15" x14ac:dyDescent="0.3">
      <c r="A158">
        <v>155</v>
      </c>
      <c r="B158">
        <f>control!$E$19*COS($A158/180*PI())+control!$B$19</f>
        <v>38.187384425926702</v>
      </c>
      <c r="C158" s="2">
        <f>control!$E$19*SIN($A158/180*PI())+control!$C$19</f>
        <v>-20.1547634765186</v>
      </c>
      <c r="O158" s="28"/>
    </row>
    <row r="159" spans="1:15" x14ac:dyDescent="0.3">
      <c r="A159">
        <v>156</v>
      </c>
      <c r="B159">
        <f>control!$E$19*COS($A159/180*PI())+control!$B$19</f>
        <v>38.172909084714796</v>
      </c>
      <c r="C159" s="2">
        <f>control!$E$19*SIN($A159/180*PI())+control!$C$19</f>
        <v>-20.186526713848401</v>
      </c>
      <c r="O159" s="28"/>
    </row>
    <row r="160" spans="1:15" x14ac:dyDescent="0.3">
      <c r="A160">
        <v>157</v>
      </c>
      <c r="B160">
        <f>control!$E$19*COS($A160/180*PI())+control!$B$19</f>
        <v>38.158990293095123</v>
      </c>
      <c r="C160" s="2">
        <f>control!$E$19*SIN($A160/180*PI())+control!$C$19</f>
        <v>-20.218537743021454</v>
      </c>
      <c r="O160" s="28"/>
    </row>
    <row r="161" spans="1:15" x14ac:dyDescent="0.3">
      <c r="A161">
        <v>158</v>
      </c>
      <c r="B161">
        <f>control!$E$19*COS($A161/180*PI())+control!$B$19</f>
        <v>38.145632290866423</v>
      </c>
      <c r="C161" s="2">
        <f>control!$E$19*SIN($A161/180*PI())+control!$C$19</f>
        <v>-20.250786813168176</v>
      </c>
      <c r="O161" s="28"/>
    </row>
    <row r="162" spans="1:15" x14ac:dyDescent="0.3">
      <c r="A162">
        <v>159</v>
      </c>
      <c r="B162">
        <f>control!$E$19*COS($A162/180*PI())+control!$B$19</f>
        <v>38.132839147005598</v>
      </c>
      <c r="C162" s="2">
        <f>control!$E$19*SIN($A162/180*PI())+control!$C$19</f>
        <v>-20.283264100909399</v>
      </c>
      <c r="O162" s="28"/>
    </row>
    <row r="163" spans="1:15" x14ac:dyDescent="0.3">
      <c r="A163">
        <v>160</v>
      </c>
      <c r="B163">
        <f>control!$E$19*COS($A163/180*PI())+control!$B$19</f>
        <v>38.120614758428182</v>
      </c>
      <c r="C163" s="2">
        <f>control!$E$19*SIN($A163/180*PI())+control!$C$19</f>
        <v>-20.315959713348661</v>
      </c>
      <c r="O163" s="28"/>
    </row>
    <row r="164" spans="1:15" x14ac:dyDescent="0.3">
      <c r="A164">
        <v>161</v>
      </c>
      <c r="B164">
        <f>control!$E$19*COS($A164/180*PI())+control!$B$19</f>
        <v>38.108962848801369</v>
      </c>
      <c r="C164" s="2">
        <f>control!$E$19*SIN($A164/180*PI())+control!$C$19</f>
        <v>-20.348863691085686</v>
      </c>
      <c r="O164" s="28"/>
    </row>
    <row r="165" spans="1:15" x14ac:dyDescent="0.3">
      <c r="A165">
        <v>162</v>
      </c>
      <c r="B165">
        <f>control!$E$19*COS($A165/180*PI())+control!$B$19</f>
        <v>38.097886967409693</v>
      </c>
      <c r="C165" s="2">
        <f>control!$E$19*SIN($A165/180*PI())+control!$C$19</f>
        <v>-20.381966011250103</v>
      </c>
      <c r="O165" s="28"/>
    </row>
    <row r="166" spans="1:15" x14ac:dyDescent="0.3">
      <c r="A166">
        <v>163</v>
      </c>
      <c r="B166">
        <f>control!$E$19*COS($A166/180*PI())+control!$B$19</f>
        <v>38.087390488073929</v>
      </c>
      <c r="C166" s="2">
        <f>control!$E$19*SIN($A166/180*PI())+control!$C$19</f>
        <v>-20.415256590554527</v>
      </c>
      <c r="O166" s="28"/>
    </row>
    <row r="167" spans="1:15" x14ac:dyDescent="0.3">
      <c r="A167">
        <v>164</v>
      </c>
      <c r="B167">
        <f>control!$E$19*COS($A167/180*PI())+control!$B$19</f>
        <v>38.077476608123362</v>
      </c>
      <c r="C167" s="2">
        <f>control!$E$19*SIN($A167/180*PI())+control!$C$19</f>
        <v>-20.448725288366003</v>
      </c>
      <c r="O167" s="28"/>
    </row>
    <row r="168" spans="1:15" x14ac:dyDescent="0.3">
      <c r="A168">
        <v>165</v>
      </c>
      <c r="B168">
        <f>control!$E$19*COS($A168/180*PI())+control!$B$19</f>
        <v>38.068148347421861</v>
      </c>
      <c r="C168" s="2">
        <f>control!$E$19*SIN($A168/180*PI())+control!$C$19</f>
        <v>-20.482361909794957</v>
      </c>
      <c r="O168" s="28"/>
    </row>
    <row r="169" spans="1:15" x14ac:dyDescent="0.3">
      <c r="A169">
        <v>166</v>
      </c>
      <c r="B169">
        <f>control!$E$19*COS($A169/180*PI())+control!$B$19</f>
        <v>38.059408547448008</v>
      </c>
      <c r="C169" s="2">
        <f>control!$E$19*SIN($A169/180*PI())+control!$C$19</f>
        <v>-20.516156208800666</v>
      </c>
      <c r="O169" s="28"/>
    </row>
    <row r="170" spans="1:15" x14ac:dyDescent="0.3">
      <c r="A170">
        <v>167</v>
      </c>
      <c r="B170">
        <f>control!$E$19*COS($A170/180*PI())+control!$B$19</f>
        <v>38.051259870429533</v>
      </c>
      <c r="C170" s="2">
        <f>control!$E$19*SIN($A170/180*PI())+control!$C$19</f>
        <v>-20.550097891312269</v>
      </c>
      <c r="O170" s="28"/>
    </row>
    <row r="171" spans="1:15" x14ac:dyDescent="0.3">
      <c r="A171">
        <v>168</v>
      </c>
      <c r="B171">
        <f>control!$E$19*COS($A171/180*PI())+control!$B$19</f>
        <v>38.043704798532389</v>
      </c>
      <c r="C171" s="2">
        <f>control!$E$19*SIN($A171/180*PI())+control!$C$19</f>
        <v>-20.584176618364481</v>
      </c>
      <c r="O171" s="28"/>
    </row>
    <row r="172" spans="1:15" x14ac:dyDescent="0.3">
      <c r="A172">
        <v>169</v>
      </c>
      <c r="B172">
        <f>control!$E$19*COS($A172/180*PI())+control!$B$19</f>
        <v>38.036745633104672</v>
      </c>
      <c r="C172" s="2">
        <f>control!$E$19*SIN($A172/180*PI())+control!$C$19</f>
        <v>-20.618382009246911</v>
      </c>
      <c r="O172" s="28"/>
    </row>
    <row r="173" spans="1:15" x14ac:dyDescent="0.3">
      <c r="A173">
        <v>170</v>
      </c>
      <c r="B173">
        <f>control!$E$19*COS($A173/180*PI())+control!$B$19</f>
        <v>38.030384493975582</v>
      </c>
      <c r="C173" s="2">
        <f>control!$E$19*SIN($A173/180*PI())+control!$C$19</f>
        <v>-20.65270364466614</v>
      </c>
      <c r="O173" s="28"/>
    </row>
    <row r="174" spans="1:15" x14ac:dyDescent="0.3">
      <c r="A174">
        <v>171</v>
      </c>
      <c r="B174">
        <f>control!$E$19*COS($A174/180*PI())+control!$B$19</f>
        <v>38.024623318809724</v>
      </c>
      <c r="C174" s="2">
        <f>control!$E$19*SIN($A174/180*PI())+control!$C$19</f>
        <v>-20.687131069919538</v>
      </c>
      <c r="O174" s="28"/>
    </row>
    <row r="175" spans="1:15" x14ac:dyDescent="0.3">
      <c r="A175">
        <v>172</v>
      </c>
      <c r="B175">
        <f>control!$E$19*COS($A175/180*PI())+control!$B$19</f>
        <v>38.019463862516858</v>
      </c>
      <c r="C175" s="2">
        <f>control!$E$19*SIN($A175/180*PI())+control!$C$19</f>
        <v>-20.721653798079871</v>
      </c>
      <c r="O175" s="28"/>
    </row>
    <row r="176" spans="1:15" x14ac:dyDescent="0.3">
      <c r="A176">
        <v>173</v>
      </c>
      <c r="B176">
        <f>control!$E$19*COS($A176/180*PI())+control!$B$19</f>
        <v>38.014907696717358</v>
      </c>
      <c r="C176" s="2">
        <f>control!$E$19*SIN($A176/180*PI())+control!$C$19</f>
        <v>-20.756261313189704</v>
      </c>
      <c r="O176" s="28"/>
    </row>
    <row r="177" spans="1:15" x14ac:dyDescent="0.3">
      <c r="A177">
        <v>174</v>
      </c>
      <c r="B177">
        <f>control!$E$19*COS($A177/180*PI())+control!$B$19</f>
        <v>38.010956209263455</v>
      </c>
      <c r="C177" s="2">
        <f>control!$E$19*SIN($A177/180*PI())+control!$C$19</f>
        <v>-20.790943073464693</v>
      </c>
      <c r="O177" s="28"/>
    </row>
    <row r="178" spans="1:15" x14ac:dyDescent="0.3">
      <c r="A178">
        <v>175</v>
      </c>
      <c r="B178">
        <f>control!$E$19*COS($A178/180*PI())+control!$B$19</f>
        <v>38.007610603816509</v>
      </c>
      <c r="C178" s="2">
        <f>control!$E$19*SIN($A178/180*PI())+control!$C$19</f>
        <v>-20.825688514504684</v>
      </c>
      <c r="O178" s="28"/>
    </row>
    <row r="179" spans="1:15" x14ac:dyDescent="0.3">
      <c r="A179">
        <v>176</v>
      </c>
      <c r="B179">
        <f>control!$E$19*COS($A179/180*PI())+control!$B$19</f>
        <v>38.004871899480349</v>
      </c>
      <c r="C179" s="2">
        <f>control!$E$19*SIN($A179/180*PI())+control!$C$19</f>
        <v>-20.860487052511751</v>
      </c>
      <c r="O179" s="28"/>
    </row>
    <row r="180" spans="1:15" x14ac:dyDescent="0.3">
      <c r="A180">
        <v>177</v>
      </c>
      <c r="B180">
        <f>control!$E$19*COS($A180/180*PI())+control!$B$19</f>
        <v>38.002740930490852</v>
      </c>
      <c r="C180" s="2">
        <f>control!$E$19*SIN($A180/180*PI())+control!$C$19</f>
        <v>-20.895328087514113</v>
      </c>
      <c r="O180" s="28"/>
    </row>
    <row r="181" spans="1:15" x14ac:dyDescent="0.3">
      <c r="A181">
        <v>178</v>
      </c>
      <c r="B181">
        <f>control!$E$19*COS($A181/180*PI())+control!$B$19</f>
        <v>38.00121834596181</v>
      </c>
      <c r="C181" s="2">
        <f>control!$E$19*SIN($A181/180*PI())+control!$C$19</f>
        <v>-20.930201006594999</v>
      </c>
      <c r="O181" s="28"/>
    </row>
    <row r="182" spans="1:15" x14ac:dyDescent="0.3">
      <c r="A182">
        <v>179</v>
      </c>
      <c r="B182">
        <f>control!$E$19*COS($A182/180*PI())+control!$B$19</f>
        <v>38.00030460968722</v>
      </c>
      <c r="C182" s="2">
        <f>control!$E$19*SIN($A182/180*PI())+control!$C$19</f>
        <v>-20.965095187125431</v>
      </c>
      <c r="O182" s="28"/>
    </row>
    <row r="183" spans="1:15" x14ac:dyDescent="0.3">
      <c r="A183">
        <v>180</v>
      </c>
      <c r="B183">
        <f>control!$E$19*COS($A183/180*PI())+control!$B$19</f>
        <v>38</v>
      </c>
      <c r="C183" s="2">
        <f>control!$E$19*SIN($A183/180*PI())+control!$C$19</f>
        <v>-21</v>
      </c>
      <c r="O183" s="28"/>
    </row>
    <row r="184" spans="1:15" x14ac:dyDescent="0.3">
      <c r="A184">
        <v>181</v>
      </c>
      <c r="B184">
        <f>control!$E$19*COS($A184/180*PI())+control!$B$19</f>
        <v>38.00030460968722</v>
      </c>
      <c r="C184" s="2">
        <f>control!$E$19*SIN($A184/180*PI())+control!$C$19</f>
        <v>-21.034904812874565</v>
      </c>
      <c r="O184" s="28"/>
    </row>
    <row r="185" spans="1:15" x14ac:dyDescent="0.3">
      <c r="A185">
        <v>182</v>
      </c>
      <c r="B185">
        <f>control!$E$19*COS($A185/180*PI())+control!$B$19</f>
        <v>38.00121834596181</v>
      </c>
      <c r="C185" s="2">
        <f>control!$E$19*SIN($A185/180*PI())+control!$C$19</f>
        <v>-21.069798993405001</v>
      </c>
      <c r="O185" s="28"/>
    </row>
    <row r="186" spans="1:15" x14ac:dyDescent="0.3">
      <c r="A186">
        <v>183</v>
      </c>
      <c r="B186">
        <f>control!$E$19*COS($A186/180*PI())+control!$B$19</f>
        <v>38.002740930490852</v>
      </c>
      <c r="C186" s="2">
        <f>control!$E$19*SIN($A186/180*PI())+control!$C$19</f>
        <v>-21.104671912485887</v>
      </c>
      <c r="O186" s="28"/>
    </row>
    <row r="187" spans="1:15" x14ac:dyDescent="0.3">
      <c r="A187">
        <v>184</v>
      </c>
      <c r="B187">
        <f>control!$E$19*COS($A187/180*PI())+control!$B$19</f>
        <v>38.004871899480349</v>
      </c>
      <c r="C187" s="2">
        <f>control!$E$19*SIN($A187/180*PI())+control!$C$19</f>
        <v>-21.139512947488249</v>
      </c>
      <c r="O187" s="28"/>
    </row>
    <row r="188" spans="1:15" x14ac:dyDescent="0.3">
      <c r="A188">
        <v>185</v>
      </c>
      <c r="B188">
        <f>control!$E$19*COS($A188/180*PI())+control!$B$19</f>
        <v>38.007610603816509</v>
      </c>
      <c r="C188" s="2">
        <f>control!$E$19*SIN($A188/180*PI())+control!$C$19</f>
        <v>-21.174311485495316</v>
      </c>
      <c r="O188" s="28"/>
    </row>
    <row r="189" spans="1:15" x14ac:dyDescent="0.3">
      <c r="A189">
        <v>186</v>
      </c>
      <c r="B189">
        <f>control!$E$19*COS($A189/180*PI())+control!$B$19</f>
        <v>38.010956209263455</v>
      </c>
      <c r="C189" s="2">
        <f>control!$E$19*SIN($A189/180*PI())+control!$C$19</f>
        <v>-21.209056926535307</v>
      </c>
      <c r="O189" s="28"/>
    </row>
    <row r="190" spans="1:15" x14ac:dyDescent="0.3">
      <c r="A190">
        <v>187</v>
      </c>
      <c r="B190">
        <f>control!$E$19*COS($A190/180*PI())+control!$B$19</f>
        <v>38.014907696717358</v>
      </c>
      <c r="C190" s="2">
        <f>control!$E$19*SIN($A190/180*PI())+control!$C$19</f>
        <v>-21.243738686810296</v>
      </c>
      <c r="O190" s="28"/>
    </row>
    <row r="191" spans="1:15" x14ac:dyDescent="0.3">
      <c r="A191">
        <v>188</v>
      </c>
      <c r="B191">
        <f>control!$E$19*COS($A191/180*PI())+control!$B$19</f>
        <v>38.019463862516858</v>
      </c>
      <c r="C191" s="2">
        <f>control!$E$19*SIN($A191/180*PI())+control!$C$19</f>
        <v>-21.278346201920129</v>
      </c>
      <c r="O191" s="28"/>
    </row>
    <row r="192" spans="1:15" x14ac:dyDescent="0.3">
      <c r="A192">
        <v>189</v>
      </c>
      <c r="B192">
        <f>control!$E$19*COS($A192/180*PI())+control!$B$19</f>
        <v>38.024623318809724</v>
      </c>
      <c r="C192" s="2">
        <f>control!$E$19*SIN($A192/180*PI())+control!$C$19</f>
        <v>-21.312868930080462</v>
      </c>
      <c r="O192" s="28"/>
    </row>
    <row r="193" spans="1:15" x14ac:dyDescent="0.3">
      <c r="A193">
        <v>190</v>
      </c>
      <c r="B193">
        <f>control!$E$19*COS($A193/180*PI())+control!$B$19</f>
        <v>38.030384493975582</v>
      </c>
      <c r="C193" s="2">
        <f>control!$E$19*SIN($A193/180*PI())+control!$C$19</f>
        <v>-21.34729635533386</v>
      </c>
      <c r="O193" s="28"/>
    </row>
    <row r="194" spans="1:15" x14ac:dyDescent="0.3">
      <c r="A194">
        <v>191</v>
      </c>
      <c r="B194">
        <f>control!$E$19*COS($A194/180*PI())+control!$B$19</f>
        <v>38.036745633104672</v>
      </c>
      <c r="C194" s="2">
        <f>control!$E$19*SIN($A194/180*PI())+control!$C$19</f>
        <v>-21.381617990753089</v>
      </c>
      <c r="O194" s="28"/>
    </row>
    <row r="195" spans="1:15" x14ac:dyDescent="0.3">
      <c r="A195">
        <v>192</v>
      </c>
      <c r="B195">
        <f>control!$E$19*COS($A195/180*PI())+control!$B$19</f>
        <v>38.043704798532389</v>
      </c>
      <c r="C195" s="2">
        <f>control!$E$19*SIN($A195/180*PI())+control!$C$19</f>
        <v>-21.415823381635519</v>
      </c>
      <c r="O195" s="28"/>
    </row>
    <row r="196" spans="1:15" x14ac:dyDescent="0.3">
      <c r="A196">
        <v>193</v>
      </c>
      <c r="B196">
        <f>control!$E$19*COS($A196/180*PI())+control!$B$19</f>
        <v>38.051259870429533</v>
      </c>
      <c r="C196" s="2">
        <f>control!$E$19*SIN($A196/180*PI())+control!$C$19</f>
        <v>-21.449902108687731</v>
      </c>
      <c r="O196" s="28"/>
    </row>
    <row r="197" spans="1:15" x14ac:dyDescent="0.3">
      <c r="A197">
        <v>194</v>
      </c>
      <c r="B197">
        <f>control!$E$19*COS($A197/180*PI())+control!$B$19</f>
        <v>38.059408547448008</v>
      </c>
      <c r="C197" s="2">
        <f>control!$E$19*SIN($A197/180*PI())+control!$C$19</f>
        <v>-21.483843791199334</v>
      </c>
      <c r="O197" s="28"/>
    </row>
    <row r="198" spans="1:15" x14ac:dyDescent="0.3">
      <c r="A198">
        <v>195</v>
      </c>
      <c r="B198">
        <f>control!$E$19*COS($A198/180*PI())+control!$B$19</f>
        <v>38.068148347421861</v>
      </c>
      <c r="C198" s="2">
        <f>control!$E$19*SIN($A198/180*PI())+control!$C$19</f>
        <v>-21.51763809020504</v>
      </c>
      <c r="O198" s="28"/>
    </row>
    <row r="199" spans="1:15" x14ac:dyDescent="0.3">
      <c r="A199">
        <v>196</v>
      </c>
      <c r="B199">
        <f>control!$E$19*COS($A199/180*PI())+control!$B$19</f>
        <v>38.077476608123362</v>
      </c>
      <c r="C199" s="2">
        <f>control!$E$19*SIN($A199/180*PI())+control!$C$19</f>
        <v>-21.551274711633997</v>
      </c>
      <c r="O199" s="28"/>
    </row>
    <row r="200" spans="1:15" x14ac:dyDescent="0.3">
      <c r="A200">
        <v>197</v>
      </c>
      <c r="B200">
        <f>control!$E$19*COS($A200/180*PI())+control!$B$19</f>
        <v>38.087390488073929</v>
      </c>
      <c r="C200" s="2">
        <f>control!$E$19*SIN($A200/180*PI())+control!$C$19</f>
        <v>-21.584743409445473</v>
      </c>
      <c r="O200" s="28"/>
    </row>
    <row r="201" spans="1:15" x14ac:dyDescent="0.3">
      <c r="A201">
        <v>198</v>
      </c>
      <c r="B201">
        <f>control!$E$19*COS($A201/180*PI())+control!$B$19</f>
        <v>38.097886967409693</v>
      </c>
      <c r="C201" s="2">
        <f>control!$E$19*SIN($A201/180*PI())+control!$C$19</f>
        <v>-21.618033988749897</v>
      </c>
      <c r="O201" s="28"/>
    </row>
    <row r="202" spans="1:15" x14ac:dyDescent="0.3">
      <c r="A202">
        <v>199</v>
      </c>
      <c r="B202">
        <f>control!$E$19*COS($A202/180*PI())+control!$B$19</f>
        <v>38.108962848801369</v>
      </c>
      <c r="C202" s="2">
        <f>control!$E$19*SIN($A202/180*PI())+control!$C$19</f>
        <v>-21.651136308914314</v>
      </c>
      <c r="O202" s="28"/>
    </row>
    <row r="203" spans="1:15" x14ac:dyDescent="0.3">
      <c r="A203">
        <v>200</v>
      </c>
      <c r="B203">
        <f>control!$E$19*COS($A203/180*PI())+control!$B$19</f>
        <v>38.120614758428182</v>
      </c>
      <c r="C203" s="2">
        <f>control!$E$19*SIN($A203/180*PI())+control!$C$19</f>
        <v>-21.684040286651339</v>
      </c>
      <c r="O203" s="28"/>
    </row>
    <row r="204" spans="1:15" x14ac:dyDescent="0.3">
      <c r="A204">
        <v>201</v>
      </c>
      <c r="B204">
        <f>control!$E$19*COS($A204/180*PI())+control!$B$19</f>
        <v>38.132839147005598</v>
      </c>
      <c r="C204" s="2">
        <f>control!$E$19*SIN($A204/180*PI())+control!$C$19</f>
        <v>-21.716735899090601</v>
      </c>
      <c r="O204" s="28"/>
    </row>
    <row r="205" spans="1:15" x14ac:dyDescent="0.3">
      <c r="A205">
        <v>202</v>
      </c>
      <c r="B205">
        <f>control!$E$19*COS($A205/180*PI())+control!$B$19</f>
        <v>38.145632290866423</v>
      </c>
      <c r="C205" s="2">
        <f>control!$E$19*SIN($A205/180*PI())+control!$C$19</f>
        <v>-21.749213186831824</v>
      </c>
      <c r="O205" s="28"/>
    </row>
    <row r="206" spans="1:15" x14ac:dyDescent="0.3">
      <c r="A206">
        <v>203</v>
      </c>
      <c r="B206">
        <f>control!$E$19*COS($A206/180*PI())+control!$B$19</f>
        <v>38.158990293095123</v>
      </c>
      <c r="C206" s="2">
        <f>control!$E$19*SIN($A206/180*PI())+control!$C$19</f>
        <v>-21.781462256978546</v>
      </c>
      <c r="O206" s="28"/>
    </row>
    <row r="207" spans="1:15" x14ac:dyDescent="0.3">
      <c r="A207">
        <v>204</v>
      </c>
      <c r="B207">
        <f>control!$E$19*COS($A207/180*PI())+control!$B$19</f>
        <v>38.172909084714796</v>
      </c>
      <c r="C207" s="2">
        <f>control!$E$19*SIN($A207/180*PI())+control!$C$19</f>
        <v>-21.813473286151599</v>
      </c>
      <c r="O207" s="28"/>
    </row>
    <row r="208" spans="1:15" x14ac:dyDescent="0.3">
      <c r="A208">
        <v>205</v>
      </c>
      <c r="B208">
        <f>control!$E$19*COS($A208/180*PI())+control!$B$19</f>
        <v>38.187384425926702</v>
      </c>
      <c r="C208" s="2">
        <f>control!$E$19*SIN($A208/180*PI())+control!$C$19</f>
        <v>-21.845236523481397</v>
      </c>
      <c r="O208" s="28"/>
    </row>
    <row r="209" spans="1:15" x14ac:dyDescent="0.3">
      <c r="A209">
        <v>206</v>
      </c>
      <c r="B209">
        <f>control!$E$19*COS($A209/180*PI())+control!$B$19</f>
        <v>38.202411907401668</v>
      </c>
      <c r="C209" s="2">
        <f>control!$E$19*SIN($A209/180*PI())+control!$C$19</f>
        <v>-21.876742293578154</v>
      </c>
      <c r="O209" s="28"/>
    </row>
    <row r="210" spans="1:15" x14ac:dyDescent="0.3">
      <c r="A210">
        <v>207</v>
      </c>
      <c r="B210">
        <f>control!$E$19*COS($A210/180*PI())+control!$B$19</f>
        <v>38.217986951623267</v>
      </c>
      <c r="C210" s="2">
        <f>control!$E$19*SIN($A210/180*PI())+control!$C$19</f>
        <v>-21.907980999479093</v>
      </c>
      <c r="O210" s="28"/>
    </row>
    <row r="211" spans="1:15" x14ac:dyDescent="0.3">
      <c r="A211">
        <v>208</v>
      </c>
      <c r="B211">
        <f>control!$E$19*COS($A211/180*PI())+control!$B$19</f>
        <v>38.234104814282148</v>
      </c>
      <c r="C211" s="2">
        <f>control!$E$19*SIN($A211/180*PI())+control!$C$19</f>
        <v>-21.938943125571782</v>
      </c>
      <c r="O211" s="28"/>
    </row>
    <row r="212" spans="1:15" x14ac:dyDescent="0.3">
      <c r="A212">
        <v>209</v>
      </c>
      <c r="B212">
        <f>control!$E$19*COS($A212/180*PI())+control!$B$19</f>
        <v>38.25076058572121</v>
      </c>
      <c r="C212" s="2">
        <f>control!$E$19*SIN($A212/180*PI())+control!$C$19</f>
        <v>-21.969619240492676</v>
      </c>
      <c r="O212" s="28"/>
    </row>
    <row r="213" spans="1:15" x14ac:dyDescent="0.3">
      <c r="A213">
        <v>210</v>
      </c>
      <c r="B213">
        <f>control!$E$19*COS($A213/180*PI())+control!$B$19</f>
        <v>38.267949192431125</v>
      </c>
      <c r="C213" s="2">
        <f>control!$E$19*SIN($A213/180*PI())+control!$C$19</f>
        <v>-22</v>
      </c>
      <c r="O213" s="28"/>
    </row>
    <row r="214" spans="1:15" x14ac:dyDescent="0.3">
      <c r="A214">
        <v>211</v>
      </c>
      <c r="B214">
        <f>control!$E$19*COS($A214/180*PI())+control!$B$19</f>
        <v>38.285665398595775</v>
      </c>
      <c r="C214" s="2">
        <f>control!$E$19*SIN($A214/180*PI())+control!$C$19</f>
        <v>-22.030076149820108</v>
      </c>
      <c r="O214" s="28"/>
    </row>
    <row r="215" spans="1:15" x14ac:dyDescent="0.3">
      <c r="A215">
        <v>212</v>
      </c>
      <c r="B215">
        <f>control!$E$19*COS($A215/180*PI())+control!$B$19</f>
        <v>38.303903807687149</v>
      </c>
      <c r="C215" s="2">
        <f>control!$E$19*SIN($A215/180*PI())+control!$C$19</f>
        <v>-22.059838528466411</v>
      </c>
      <c r="O215" s="28"/>
    </row>
    <row r="216" spans="1:15" x14ac:dyDescent="0.3">
      <c r="A216">
        <v>213</v>
      </c>
      <c r="B216">
        <f>control!$E$19*COS($A216/180*PI())+control!$B$19</f>
        <v>38.322658864109151</v>
      </c>
      <c r="C216" s="2">
        <f>control!$E$19*SIN($A216/180*PI())+control!$C$19</f>
        <v>-22.089278070030055</v>
      </c>
      <c r="O216" s="28"/>
    </row>
    <row r="217" spans="1:15" x14ac:dyDescent="0.3">
      <c r="A217">
        <v>214</v>
      </c>
      <c r="B217">
        <f>control!$E$19*COS($A217/180*PI())+control!$B$19</f>
        <v>38.341924854889918</v>
      </c>
      <c r="C217" s="2">
        <f>control!$E$19*SIN($A217/180*PI())+control!$C$19</f>
        <v>-22.118385806941493</v>
      </c>
      <c r="O217" s="28"/>
    </row>
    <row r="218" spans="1:15" x14ac:dyDescent="0.3">
      <c r="A218">
        <v>215</v>
      </c>
      <c r="B218">
        <f>control!$E$19*COS($A218/180*PI())+control!$B$19</f>
        <v>38.361695911422018</v>
      </c>
      <c r="C218" s="2">
        <f>control!$E$19*SIN($A218/180*PI())+control!$C$19</f>
        <v>-22.14715287270209</v>
      </c>
      <c r="O218" s="28"/>
    </row>
    <row r="219" spans="1:15" x14ac:dyDescent="0.3">
      <c r="A219">
        <v>216</v>
      </c>
      <c r="B219">
        <f>control!$E$19*COS($A219/180*PI())+control!$B$19</f>
        <v>38.381966011250107</v>
      </c>
      <c r="C219" s="2">
        <f>control!$E$19*SIN($A219/180*PI())+control!$C$19</f>
        <v>-22.175570504584947</v>
      </c>
      <c r="O219" s="28"/>
    </row>
    <row r="220" spans="1:15" x14ac:dyDescent="0.3">
      <c r="A220">
        <v>217</v>
      </c>
      <c r="B220">
        <f>control!$E$19*COS($A220/180*PI())+control!$B$19</f>
        <v>38.402728979905412</v>
      </c>
      <c r="C220" s="2">
        <f>control!$E$19*SIN($A220/180*PI())+control!$C$19</f>
        <v>-22.203630046304095</v>
      </c>
      <c r="O220" s="28"/>
    </row>
    <row r="221" spans="1:15" x14ac:dyDescent="0.3">
      <c r="A221">
        <v>218</v>
      </c>
      <c r="B221">
        <f>control!$E$19*COS($A221/180*PI())+control!$B$19</f>
        <v>38.423978492786553</v>
      </c>
      <c r="C221" s="2">
        <f>control!$E$19*SIN($A221/180*PI())+control!$C$19</f>
        <v>-22.231322950651315</v>
      </c>
      <c r="O221" s="28"/>
    </row>
    <row r="222" spans="1:15" x14ac:dyDescent="0.3">
      <c r="A222">
        <v>219</v>
      </c>
      <c r="B222">
        <f>control!$E$19*COS($A222/180*PI())+control!$B$19</f>
        <v>38.44570807708606</v>
      </c>
      <c r="C222" s="2">
        <f>control!$E$19*SIN($A222/180*PI())+control!$C$19</f>
        <v>-22.258640782099675</v>
      </c>
      <c r="O222" s="28"/>
    </row>
    <row r="223" spans="1:15" x14ac:dyDescent="0.3">
      <c r="A223">
        <v>220</v>
      </c>
      <c r="B223">
        <f>control!$E$19*COS($A223/180*PI())+control!$B$19</f>
        <v>38.467911113762042</v>
      </c>
      <c r="C223" s="2">
        <f>control!$E$19*SIN($A223/180*PI())+control!$C$19</f>
        <v>-22.285575219373079</v>
      </c>
      <c r="O223" s="28"/>
    </row>
    <row r="224" spans="1:15" x14ac:dyDescent="0.3">
      <c r="A224">
        <v>221</v>
      </c>
      <c r="B224">
        <f>control!$E$19*COS($A224/180*PI())+control!$B$19</f>
        <v>38.490580839554454</v>
      </c>
      <c r="C224" s="2">
        <f>control!$E$19*SIN($A224/180*PI())+control!$C$19</f>
        <v>-22.312118057981014</v>
      </c>
      <c r="O224" s="28"/>
    </row>
    <row r="225" spans="1:15" x14ac:dyDescent="0.3">
      <c r="A225">
        <v>222</v>
      </c>
      <c r="B225">
        <f>control!$E$19*COS($A225/180*PI())+control!$B$19</f>
        <v>38.513710349045212</v>
      </c>
      <c r="C225" s="2">
        <f>control!$E$19*SIN($A225/180*PI())+control!$C$19</f>
        <v>-22.338261212717718</v>
      </c>
      <c r="O225" s="28"/>
    </row>
    <row r="226" spans="1:15" x14ac:dyDescent="0.3">
      <c r="A226">
        <v>223</v>
      </c>
      <c r="B226">
        <f>control!$E$19*COS($A226/180*PI())+control!$B$19</f>
        <v>38.53729259676166</v>
      </c>
      <c r="C226" s="2">
        <f>control!$E$19*SIN($A226/180*PI())+control!$C$19</f>
        <v>-22.363996720124998</v>
      </c>
      <c r="O226" s="28"/>
    </row>
    <row r="227" spans="1:15" x14ac:dyDescent="0.3">
      <c r="A227">
        <v>224</v>
      </c>
      <c r="B227">
        <f>control!$E$19*COS($A227/180*PI())+control!$B$19</f>
        <v>38.561320399322696</v>
      </c>
      <c r="C227" s="2">
        <f>control!$E$19*SIN($A227/180*PI())+control!$C$19</f>
        <v>-22.389316740917995</v>
      </c>
      <c r="O227" s="28"/>
    </row>
    <row r="228" spans="1:15" x14ac:dyDescent="0.3">
      <c r="A228">
        <v>225</v>
      </c>
      <c r="B228">
        <f>control!$E$19*COS($A228/180*PI())+control!$B$19</f>
        <v>38.585786437626908</v>
      </c>
      <c r="C228" s="2">
        <f>control!$E$19*SIN($A228/180*PI())+control!$C$19</f>
        <v>-22.414213562373096</v>
      </c>
      <c r="O228" s="28"/>
    </row>
    <row r="229" spans="1:15" x14ac:dyDescent="0.3">
      <c r="A229">
        <v>226</v>
      </c>
      <c r="B229">
        <f>control!$E$19*COS($A229/180*PI())+control!$B$19</f>
        <v>38.610683259082002</v>
      </c>
      <c r="C229" s="2">
        <f>control!$E$19*SIN($A229/180*PI())+control!$C$19</f>
        <v>-22.4386796006773</v>
      </c>
      <c r="O229" s="28"/>
    </row>
    <row r="230" spans="1:15" x14ac:dyDescent="0.3">
      <c r="A230">
        <v>227</v>
      </c>
      <c r="B230">
        <f>control!$E$19*COS($A230/180*PI())+control!$B$19</f>
        <v>38.636003279875005</v>
      </c>
      <c r="C230" s="2">
        <f>control!$E$19*SIN($A230/180*PI())+control!$C$19</f>
        <v>-22.46270740323834</v>
      </c>
      <c r="O230" s="28"/>
    </row>
    <row r="231" spans="1:15" x14ac:dyDescent="0.3">
      <c r="A231">
        <v>228</v>
      </c>
      <c r="B231">
        <f>control!$E$19*COS($A231/180*PI())+control!$B$19</f>
        <v>38.661738787282282</v>
      </c>
      <c r="C231" s="2">
        <f>control!$E$19*SIN($A231/180*PI())+control!$C$19</f>
        <v>-22.486289650954788</v>
      </c>
      <c r="O231" s="28"/>
    </row>
    <row r="232" spans="1:15" x14ac:dyDescent="0.3">
      <c r="A232">
        <v>229</v>
      </c>
      <c r="B232">
        <f>control!$E$19*COS($A232/180*PI())+control!$B$19</f>
        <v>38.687881942018983</v>
      </c>
      <c r="C232" s="2">
        <f>control!$E$19*SIN($A232/180*PI())+control!$C$19</f>
        <v>-22.509419160445542</v>
      </c>
      <c r="O232" s="28"/>
    </row>
    <row r="233" spans="1:15" x14ac:dyDescent="0.3">
      <c r="A233">
        <v>230</v>
      </c>
      <c r="B233">
        <f>control!$E$19*COS($A233/180*PI())+control!$B$19</f>
        <v>38.714424780626921</v>
      </c>
      <c r="C233" s="2">
        <f>control!$E$19*SIN($A233/180*PI())+control!$C$19</f>
        <v>-22.532088886237958</v>
      </c>
      <c r="O233" s="28"/>
    </row>
    <row r="234" spans="1:15" x14ac:dyDescent="0.3">
      <c r="A234">
        <v>231</v>
      </c>
      <c r="B234">
        <f>control!$E$19*COS($A234/180*PI())+control!$B$19</f>
        <v>38.741359217900325</v>
      </c>
      <c r="C234" s="2">
        <f>control!$E$19*SIN($A234/180*PI())+control!$C$19</f>
        <v>-22.554291922913944</v>
      </c>
      <c r="O234" s="28"/>
    </row>
    <row r="235" spans="1:15" x14ac:dyDescent="0.3">
      <c r="A235">
        <v>232</v>
      </c>
      <c r="B235">
        <f>control!$E$19*COS($A235/180*PI())+control!$B$19</f>
        <v>38.768677049348682</v>
      </c>
      <c r="C235" s="2">
        <f>control!$E$19*SIN($A235/180*PI())+control!$C$19</f>
        <v>-22.576021507213444</v>
      </c>
      <c r="O235" s="28"/>
    </row>
    <row r="236" spans="1:15" x14ac:dyDescent="0.3">
      <c r="A236">
        <v>233</v>
      </c>
      <c r="B236">
        <f>control!$E$19*COS($A236/180*PI())+control!$B$19</f>
        <v>38.796369953695901</v>
      </c>
      <c r="C236" s="2">
        <f>control!$E$19*SIN($A236/180*PI())+control!$C$19</f>
        <v>-22.597271020094585</v>
      </c>
      <c r="O236" s="28"/>
    </row>
    <row r="237" spans="1:15" x14ac:dyDescent="0.3">
      <c r="A237">
        <v>234</v>
      </c>
      <c r="B237">
        <f>control!$E$19*COS($A237/180*PI())+control!$B$19</f>
        <v>38.824429495415053</v>
      </c>
      <c r="C237" s="2">
        <f>control!$E$19*SIN($A237/180*PI())+control!$C$19</f>
        <v>-22.618033988749893</v>
      </c>
      <c r="O237" s="28"/>
    </row>
    <row r="238" spans="1:15" x14ac:dyDescent="0.3">
      <c r="A238">
        <v>235</v>
      </c>
      <c r="B238">
        <f>control!$E$19*COS($A238/180*PI())+control!$B$19</f>
        <v>38.852847127297906</v>
      </c>
      <c r="C238" s="2">
        <f>control!$E$19*SIN($A238/180*PI())+control!$C$19</f>
        <v>-22.638304088577982</v>
      </c>
      <c r="O238" s="28"/>
    </row>
    <row r="239" spans="1:15" x14ac:dyDescent="0.3">
      <c r="A239">
        <v>236</v>
      </c>
      <c r="B239">
        <f>control!$E$19*COS($A239/180*PI())+control!$B$19</f>
        <v>38.881614193058503</v>
      </c>
      <c r="C239" s="2">
        <f>control!$E$19*SIN($A239/180*PI())+control!$C$19</f>
        <v>-22.658075145110082</v>
      </c>
      <c r="O239" s="28"/>
    </row>
    <row r="240" spans="1:15" x14ac:dyDescent="0.3">
      <c r="A240">
        <v>237</v>
      </c>
      <c r="B240">
        <f>control!$E$19*COS($A240/180*PI())+control!$B$19</f>
        <v>38.910721929969945</v>
      </c>
      <c r="C240" s="2">
        <f>control!$E$19*SIN($A240/180*PI())+control!$C$19</f>
        <v>-22.677341135890849</v>
      </c>
      <c r="O240" s="28"/>
    </row>
    <row r="241" spans="1:15" x14ac:dyDescent="0.3">
      <c r="A241">
        <v>238</v>
      </c>
      <c r="B241">
        <f>control!$E$19*COS($A241/180*PI())+control!$B$19</f>
        <v>38.940161471533592</v>
      </c>
      <c r="C241" s="2">
        <f>control!$E$19*SIN($A241/180*PI())+control!$C$19</f>
        <v>-22.696096192312851</v>
      </c>
      <c r="O241" s="28"/>
    </row>
    <row r="242" spans="1:15" x14ac:dyDescent="0.3">
      <c r="A242">
        <v>239</v>
      </c>
      <c r="B242">
        <f>control!$E$19*COS($A242/180*PI())+control!$B$19</f>
        <v>38.969923850179889</v>
      </c>
      <c r="C242" s="2">
        <f>control!$E$19*SIN($A242/180*PI())+control!$C$19</f>
        <v>-22.714334601404225</v>
      </c>
      <c r="O242" s="28"/>
    </row>
    <row r="243" spans="1:15" x14ac:dyDescent="0.3">
      <c r="A243">
        <v>240</v>
      </c>
      <c r="B243">
        <f>control!$E$19*COS($A243/180*PI())+control!$B$19</f>
        <v>39</v>
      </c>
      <c r="C243" s="2">
        <f>control!$E$19*SIN($A243/180*PI())+control!$C$19</f>
        <v>-22.732050807568875</v>
      </c>
      <c r="O243" s="28"/>
    </row>
    <row r="244" spans="1:15" x14ac:dyDescent="0.3">
      <c r="A244">
        <v>241</v>
      </c>
      <c r="B244">
        <f>control!$E$19*COS($A244/180*PI())+control!$B$19</f>
        <v>39.030380759507324</v>
      </c>
      <c r="C244" s="2">
        <f>control!$E$19*SIN($A244/180*PI())+control!$C$19</f>
        <v>-22.74923941427879</v>
      </c>
      <c r="O244" s="28"/>
    </row>
    <row r="245" spans="1:15" x14ac:dyDescent="0.3">
      <c r="A245">
        <v>242</v>
      </c>
      <c r="B245">
        <f>control!$E$19*COS($A245/180*PI())+control!$B$19</f>
        <v>39.061056874428218</v>
      </c>
      <c r="C245" s="2">
        <f>control!$E$19*SIN($A245/180*PI())+control!$C$19</f>
        <v>-22.765895185717852</v>
      </c>
      <c r="O245" s="28"/>
    </row>
    <row r="246" spans="1:15" x14ac:dyDescent="0.3">
      <c r="A246">
        <v>243</v>
      </c>
      <c r="B246">
        <f>control!$E$19*COS($A246/180*PI())+control!$B$19</f>
        <v>39.092019000520907</v>
      </c>
      <c r="C246" s="2">
        <f>control!$E$19*SIN($A246/180*PI())+control!$C$19</f>
        <v>-22.782013048376736</v>
      </c>
      <c r="O246" s="28"/>
    </row>
    <row r="247" spans="1:15" x14ac:dyDescent="0.3">
      <c r="A247">
        <v>244</v>
      </c>
      <c r="B247">
        <f>control!$E$19*COS($A247/180*PI())+control!$B$19</f>
        <v>39.123257706421846</v>
      </c>
      <c r="C247" s="2">
        <f>control!$E$19*SIN($A247/180*PI())+control!$C$19</f>
        <v>-22.797588092598332</v>
      </c>
      <c r="O247" s="28"/>
    </row>
    <row r="248" spans="1:15" x14ac:dyDescent="0.3">
      <c r="A248">
        <v>245</v>
      </c>
      <c r="B248">
        <f>control!$E$19*COS($A248/180*PI())+control!$B$19</f>
        <v>39.154763476518603</v>
      </c>
      <c r="C248" s="2">
        <f>control!$E$19*SIN($A248/180*PI())+control!$C$19</f>
        <v>-22.812615574073298</v>
      </c>
      <c r="O248" s="28"/>
    </row>
    <row r="249" spans="1:15" x14ac:dyDescent="0.3">
      <c r="A249">
        <v>246</v>
      </c>
      <c r="B249">
        <f>control!$E$19*COS($A249/180*PI())+control!$B$19</f>
        <v>39.186526713848401</v>
      </c>
      <c r="C249" s="2">
        <f>control!$E$19*SIN($A249/180*PI())+control!$C$19</f>
        <v>-22.827090915285201</v>
      </c>
      <c r="O249" s="28"/>
    </row>
    <row r="250" spans="1:15" x14ac:dyDescent="0.3">
      <c r="A250">
        <v>247</v>
      </c>
      <c r="B250">
        <f>control!$E$19*COS($A250/180*PI())+control!$B$19</f>
        <v>39.21853774302145</v>
      </c>
      <c r="C250" s="2">
        <f>control!$E$19*SIN($A250/180*PI())+control!$C$19</f>
        <v>-22.841009706904881</v>
      </c>
      <c r="O250" s="28"/>
    </row>
    <row r="251" spans="1:15" x14ac:dyDescent="0.3">
      <c r="A251">
        <v>248</v>
      </c>
      <c r="B251">
        <f>control!$E$19*COS($A251/180*PI())+control!$B$19</f>
        <v>39.250786813168176</v>
      </c>
      <c r="C251" s="2">
        <f>control!$E$19*SIN($A251/180*PI())+control!$C$19</f>
        <v>-22.854367709133573</v>
      </c>
      <c r="O251" s="28"/>
    </row>
    <row r="252" spans="1:15" x14ac:dyDescent="0.3">
      <c r="A252">
        <v>249</v>
      </c>
      <c r="B252">
        <f>control!$E$19*COS($A252/180*PI())+control!$B$19</f>
        <v>39.283264100909399</v>
      </c>
      <c r="C252" s="2">
        <f>control!$E$19*SIN($A252/180*PI())+control!$C$19</f>
        <v>-22.867160852994402</v>
      </c>
      <c r="O252" s="28"/>
    </row>
    <row r="253" spans="1:15" x14ac:dyDescent="0.3">
      <c r="A253">
        <v>250</v>
      </c>
      <c r="B253">
        <f>control!$E$19*COS($A253/180*PI())+control!$B$19</f>
        <v>39.315959713348661</v>
      </c>
      <c r="C253" s="2">
        <f>control!$E$19*SIN($A253/180*PI())+control!$C$19</f>
        <v>-22.879385241571818</v>
      </c>
      <c r="O253" s="28"/>
    </row>
    <row r="254" spans="1:15" x14ac:dyDescent="0.3">
      <c r="A254">
        <v>251</v>
      </c>
      <c r="B254">
        <f>control!$E$19*COS($A254/180*PI())+control!$B$19</f>
        <v>39.34886369108569</v>
      </c>
      <c r="C254" s="2">
        <f>control!$E$19*SIN($A254/180*PI())+control!$C$19</f>
        <v>-22.891037151198635</v>
      </c>
      <c r="O254" s="28"/>
    </row>
    <row r="255" spans="1:15" x14ac:dyDescent="0.3">
      <c r="A255">
        <v>252</v>
      </c>
      <c r="B255">
        <f>control!$E$19*COS($A255/180*PI())+control!$B$19</f>
        <v>39.381966011250107</v>
      </c>
      <c r="C255" s="2">
        <f>control!$E$19*SIN($A255/180*PI())+control!$C$19</f>
        <v>-22.902113032590307</v>
      </c>
      <c r="O255" s="28"/>
    </row>
    <row r="256" spans="1:15" x14ac:dyDescent="0.3">
      <c r="A256">
        <v>253</v>
      </c>
      <c r="B256">
        <f>control!$E$19*COS($A256/180*PI())+control!$B$19</f>
        <v>39.415256590554527</v>
      </c>
      <c r="C256" s="2">
        <f>control!$E$19*SIN($A256/180*PI())+control!$C$19</f>
        <v>-22.912609511926071</v>
      </c>
      <c r="O256" s="28"/>
    </row>
    <row r="257" spans="1:15" x14ac:dyDescent="0.3">
      <c r="A257">
        <v>254</v>
      </c>
      <c r="B257">
        <f>control!$E$19*COS($A257/180*PI())+control!$B$19</f>
        <v>39.448725288365999</v>
      </c>
      <c r="C257" s="2">
        <f>control!$E$19*SIN($A257/180*PI())+control!$C$19</f>
        <v>-22.922523391876638</v>
      </c>
      <c r="O257" s="28"/>
    </row>
    <row r="258" spans="1:15" x14ac:dyDescent="0.3">
      <c r="A258">
        <v>255</v>
      </c>
      <c r="B258">
        <f>control!$E$19*COS($A258/180*PI())+control!$B$19</f>
        <v>39.48236190979496</v>
      </c>
      <c r="C258" s="2">
        <f>control!$E$19*SIN($A258/180*PI())+control!$C$19</f>
        <v>-22.931851652578136</v>
      </c>
      <c r="O258" s="28"/>
    </row>
    <row r="259" spans="1:15" x14ac:dyDescent="0.3">
      <c r="A259">
        <v>256</v>
      </c>
      <c r="B259">
        <f>control!$E$19*COS($A259/180*PI())+control!$B$19</f>
        <v>39.516156208800666</v>
      </c>
      <c r="C259" s="2">
        <f>control!$E$19*SIN($A259/180*PI())+control!$C$19</f>
        <v>-22.940591452551992</v>
      </c>
      <c r="O259" s="28"/>
    </row>
    <row r="260" spans="1:15" x14ac:dyDescent="0.3">
      <c r="A260">
        <v>257</v>
      </c>
      <c r="B260">
        <f>control!$E$19*COS($A260/180*PI())+control!$B$19</f>
        <v>39.550097891312269</v>
      </c>
      <c r="C260" s="2">
        <f>control!$E$19*SIN($A260/180*PI())+control!$C$19</f>
        <v>-22.948740129570471</v>
      </c>
      <c r="O260" s="28"/>
    </row>
    <row r="261" spans="1:15" x14ac:dyDescent="0.3">
      <c r="A261">
        <v>258</v>
      </c>
      <c r="B261">
        <f>control!$E$19*COS($A261/180*PI())+control!$B$19</f>
        <v>39.584176618364481</v>
      </c>
      <c r="C261" s="2">
        <f>control!$E$19*SIN($A261/180*PI())+control!$C$19</f>
        <v>-22.956295201467611</v>
      </c>
      <c r="O261" s="28"/>
    </row>
    <row r="262" spans="1:15" x14ac:dyDescent="0.3">
      <c r="A262">
        <v>259</v>
      </c>
      <c r="B262">
        <f>control!$E$19*COS($A262/180*PI())+control!$B$19</f>
        <v>39.618382009246908</v>
      </c>
      <c r="C262" s="2">
        <f>control!$E$19*SIN($A262/180*PI())+control!$C$19</f>
        <v>-22.963254366895328</v>
      </c>
      <c r="O262" s="28"/>
    </row>
    <row r="263" spans="1:15" x14ac:dyDescent="0.3">
      <c r="A263">
        <v>260</v>
      </c>
      <c r="B263">
        <f>control!$E$19*COS($A263/180*PI())+control!$B$19</f>
        <v>39.65270364466614</v>
      </c>
      <c r="C263" s="2">
        <f>control!$E$19*SIN($A263/180*PI())+control!$C$19</f>
        <v>-22.969615506024414</v>
      </c>
      <c r="O263" s="28"/>
    </row>
    <row r="264" spans="1:15" x14ac:dyDescent="0.3">
      <c r="A264">
        <v>261</v>
      </c>
      <c r="B264">
        <f>control!$E$19*COS($A264/180*PI())+control!$B$19</f>
        <v>39.687131069919538</v>
      </c>
      <c r="C264" s="2">
        <f>control!$E$19*SIN($A264/180*PI())+control!$C$19</f>
        <v>-22.975376681190276</v>
      </c>
      <c r="O264" s="28"/>
    </row>
    <row r="265" spans="1:15" x14ac:dyDescent="0.3">
      <c r="A265">
        <v>262</v>
      </c>
      <c r="B265">
        <f>control!$E$19*COS($A265/180*PI())+control!$B$19</f>
        <v>39.721653798079871</v>
      </c>
      <c r="C265" s="2">
        <f>control!$E$19*SIN($A265/180*PI())+control!$C$19</f>
        <v>-22.980536137483142</v>
      </c>
      <c r="O265" s="28"/>
    </row>
    <row r="266" spans="1:15" x14ac:dyDescent="0.3">
      <c r="A266">
        <v>263</v>
      </c>
      <c r="B266">
        <f>control!$E$19*COS($A266/180*PI())+control!$B$19</f>
        <v>39.756261313189704</v>
      </c>
      <c r="C266" s="2">
        <f>control!$E$19*SIN($A266/180*PI())+control!$C$19</f>
        <v>-22.985092303282645</v>
      </c>
      <c r="O266" s="28"/>
    </row>
    <row r="267" spans="1:15" x14ac:dyDescent="0.3">
      <c r="A267">
        <v>264</v>
      </c>
      <c r="B267">
        <f>control!$E$19*COS($A267/180*PI())+control!$B$19</f>
        <v>39.790943073464689</v>
      </c>
      <c r="C267" s="2">
        <f>control!$E$19*SIN($A267/180*PI())+control!$C$19</f>
        <v>-22.989043790736545</v>
      </c>
      <c r="O267" s="28"/>
    </row>
    <row r="268" spans="1:15" x14ac:dyDescent="0.3">
      <c r="A268">
        <v>265</v>
      </c>
      <c r="B268">
        <f>control!$E$19*COS($A268/180*PI())+control!$B$19</f>
        <v>39.825688514504684</v>
      </c>
      <c r="C268" s="2">
        <f>control!$E$19*SIN($A268/180*PI())+control!$C$19</f>
        <v>-22.992389396183491</v>
      </c>
      <c r="O268" s="28"/>
    </row>
    <row r="269" spans="1:15" x14ac:dyDescent="0.3">
      <c r="A269">
        <v>266</v>
      </c>
      <c r="B269">
        <f>control!$E$19*COS($A269/180*PI())+control!$B$19</f>
        <v>39.860487052511751</v>
      </c>
      <c r="C269" s="2">
        <f>control!$E$19*SIN($A269/180*PI())+control!$C$19</f>
        <v>-22.995128100519647</v>
      </c>
      <c r="O269" s="28"/>
    </row>
    <row r="270" spans="1:15" x14ac:dyDescent="0.3">
      <c r="A270">
        <v>267</v>
      </c>
      <c r="B270">
        <f>control!$E$19*COS($A270/180*PI())+control!$B$19</f>
        <v>39.895328087514116</v>
      </c>
      <c r="C270" s="2">
        <f>control!$E$19*SIN($A270/180*PI())+control!$C$19</f>
        <v>-22.997259069509148</v>
      </c>
      <c r="O270" s="28"/>
    </row>
    <row r="271" spans="1:15" x14ac:dyDescent="0.3">
      <c r="A271">
        <v>268</v>
      </c>
      <c r="B271">
        <f>control!$E$19*COS($A271/180*PI())+control!$B$19</f>
        <v>39.930201006594999</v>
      </c>
      <c r="C271" s="2">
        <f>control!$E$19*SIN($A271/180*PI())+control!$C$19</f>
        <v>-22.99878165403819</v>
      </c>
      <c r="O271" s="28"/>
    </row>
    <row r="272" spans="1:15" x14ac:dyDescent="0.3">
      <c r="A272">
        <v>269</v>
      </c>
      <c r="B272">
        <f>control!$E$19*COS($A272/180*PI())+control!$B$19</f>
        <v>39.965095187125435</v>
      </c>
      <c r="C272" s="2">
        <f>control!$E$19*SIN($A272/180*PI())+control!$C$19</f>
        <v>-22.999695390312784</v>
      </c>
      <c r="O272" s="28"/>
    </row>
    <row r="273" spans="1:15" x14ac:dyDescent="0.3">
      <c r="A273">
        <v>270</v>
      </c>
      <c r="B273">
        <f>control!$E$19*COS($A273/180*PI())+control!$B$19</f>
        <v>40</v>
      </c>
      <c r="C273" s="2">
        <f>control!$E$19*SIN($A273/180*PI())+control!$C$19</f>
        <v>-23</v>
      </c>
      <c r="O273" s="28"/>
    </row>
    <row r="274" spans="1:15" x14ac:dyDescent="0.3">
      <c r="A274">
        <v>271</v>
      </c>
      <c r="B274">
        <f>control!$E$19*COS($A274/180*PI())+control!$B$19</f>
        <v>40.034904812874565</v>
      </c>
      <c r="C274" s="2">
        <f>control!$E$19*SIN($A274/180*PI())+control!$C$19</f>
        <v>-22.999695390312784</v>
      </c>
      <c r="O274" s="28"/>
    </row>
    <row r="275" spans="1:15" x14ac:dyDescent="0.3">
      <c r="A275">
        <v>272</v>
      </c>
      <c r="B275">
        <f>control!$E$19*COS($A275/180*PI())+control!$B$19</f>
        <v>40.069798993405001</v>
      </c>
      <c r="C275" s="2">
        <f>control!$E$19*SIN($A275/180*PI())+control!$C$19</f>
        <v>-22.99878165403819</v>
      </c>
      <c r="O275" s="28"/>
    </row>
    <row r="276" spans="1:15" x14ac:dyDescent="0.3">
      <c r="A276">
        <v>273</v>
      </c>
      <c r="B276">
        <f>control!$E$19*COS($A276/180*PI())+control!$B$19</f>
        <v>40.104671912485884</v>
      </c>
      <c r="C276" s="2">
        <f>control!$E$19*SIN($A276/180*PI())+control!$C$19</f>
        <v>-22.997259069509148</v>
      </c>
      <c r="O276" s="28"/>
    </row>
    <row r="277" spans="1:15" x14ac:dyDescent="0.3">
      <c r="A277">
        <v>274</v>
      </c>
      <c r="B277">
        <f>control!$E$19*COS($A277/180*PI())+control!$B$19</f>
        <v>40.139512947488249</v>
      </c>
      <c r="C277" s="2">
        <f>control!$E$19*SIN($A277/180*PI())+control!$C$19</f>
        <v>-22.995128100519647</v>
      </c>
      <c r="O277" s="28"/>
    </row>
    <row r="278" spans="1:15" x14ac:dyDescent="0.3">
      <c r="A278">
        <v>275</v>
      </c>
      <c r="B278">
        <f>control!$E$19*COS($A278/180*PI())+control!$B$19</f>
        <v>40.174311485495316</v>
      </c>
      <c r="C278" s="2">
        <f>control!$E$19*SIN($A278/180*PI())+control!$C$19</f>
        <v>-22.992389396183491</v>
      </c>
      <c r="O278" s="28"/>
    </row>
    <row r="279" spans="1:15" x14ac:dyDescent="0.3">
      <c r="A279">
        <v>276</v>
      </c>
      <c r="B279">
        <f>control!$E$19*COS($A279/180*PI())+control!$B$19</f>
        <v>40.209056926535311</v>
      </c>
      <c r="C279" s="2">
        <f>control!$E$19*SIN($A279/180*PI())+control!$C$19</f>
        <v>-22.989043790736545</v>
      </c>
      <c r="O279" s="28"/>
    </row>
    <row r="280" spans="1:15" x14ac:dyDescent="0.3">
      <c r="A280">
        <v>277</v>
      </c>
      <c r="B280">
        <f>control!$E$19*COS($A280/180*PI())+control!$B$19</f>
        <v>40.243738686810296</v>
      </c>
      <c r="C280" s="2">
        <f>control!$E$19*SIN($A280/180*PI())+control!$C$19</f>
        <v>-22.985092303282645</v>
      </c>
      <c r="O280" s="28"/>
    </row>
    <row r="281" spans="1:15" x14ac:dyDescent="0.3">
      <c r="A281">
        <v>278</v>
      </c>
      <c r="B281">
        <f>control!$E$19*COS($A281/180*PI())+control!$B$19</f>
        <v>40.278346201920129</v>
      </c>
      <c r="C281" s="2">
        <f>control!$E$19*SIN($A281/180*PI())+control!$C$19</f>
        <v>-22.980536137483142</v>
      </c>
      <c r="O281" s="28"/>
    </row>
    <row r="282" spans="1:15" x14ac:dyDescent="0.3">
      <c r="A282">
        <v>279</v>
      </c>
      <c r="B282">
        <f>control!$E$19*COS($A282/180*PI())+control!$B$19</f>
        <v>40.312868930080462</v>
      </c>
      <c r="C282" s="2">
        <f>control!$E$19*SIN($A282/180*PI())+control!$C$19</f>
        <v>-22.975376681190276</v>
      </c>
      <c r="O282" s="28"/>
    </row>
    <row r="283" spans="1:15" x14ac:dyDescent="0.3">
      <c r="A283">
        <v>280</v>
      </c>
      <c r="B283">
        <f>control!$E$19*COS($A283/180*PI())+control!$B$19</f>
        <v>40.34729635533386</v>
      </c>
      <c r="C283" s="2">
        <f>control!$E$19*SIN($A283/180*PI())+control!$C$19</f>
        <v>-22.969615506024418</v>
      </c>
      <c r="O283" s="28"/>
    </row>
    <row r="284" spans="1:15" x14ac:dyDescent="0.3">
      <c r="A284">
        <v>281</v>
      </c>
      <c r="B284">
        <f>control!$E$19*COS($A284/180*PI())+control!$B$19</f>
        <v>40.381617990753085</v>
      </c>
      <c r="C284" s="2">
        <f>control!$E$19*SIN($A284/180*PI())+control!$C$19</f>
        <v>-22.963254366895328</v>
      </c>
      <c r="O284" s="28"/>
    </row>
    <row r="285" spans="1:15" x14ac:dyDescent="0.3">
      <c r="A285">
        <v>282</v>
      </c>
      <c r="B285">
        <f>control!$E$19*COS($A285/180*PI())+control!$B$19</f>
        <v>40.415823381635519</v>
      </c>
      <c r="C285" s="2">
        <f>control!$E$19*SIN($A285/180*PI())+control!$C$19</f>
        <v>-22.956295201467611</v>
      </c>
      <c r="O285" s="28"/>
    </row>
    <row r="286" spans="1:15" x14ac:dyDescent="0.3">
      <c r="A286">
        <v>283</v>
      </c>
      <c r="B286">
        <f>control!$E$19*COS($A286/180*PI())+control!$B$19</f>
        <v>40.449902108687731</v>
      </c>
      <c r="C286" s="2">
        <f>control!$E$19*SIN($A286/180*PI())+control!$C$19</f>
        <v>-22.948740129570471</v>
      </c>
      <c r="O286" s="28"/>
    </row>
    <row r="287" spans="1:15" x14ac:dyDescent="0.3">
      <c r="A287">
        <v>284</v>
      </c>
      <c r="B287">
        <f>control!$E$19*COS($A287/180*PI())+control!$B$19</f>
        <v>40.483843791199334</v>
      </c>
      <c r="C287" s="2">
        <f>control!$E$19*SIN($A287/180*PI())+control!$C$19</f>
        <v>-22.940591452551992</v>
      </c>
      <c r="O287" s="28"/>
    </row>
    <row r="288" spans="1:15" x14ac:dyDescent="0.3">
      <c r="A288">
        <v>285</v>
      </c>
      <c r="B288">
        <f>control!$E$19*COS($A288/180*PI())+control!$B$19</f>
        <v>40.51763809020504</v>
      </c>
      <c r="C288" s="2">
        <f>control!$E$19*SIN($A288/180*PI())+control!$C$19</f>
        <v>-22.931851652578136</v>
      </c>
      <c r="O288" s="28"/>
    </row>
    <row r="289" spans="1:15" x14ac:dyDescent="0.3">
      <c r="A289">
        <v>286</v>
      </c>
      <c r="B289">
        <f>control!$E$19*COS($A289/180*PI())+control!$B$19</f>
        <v>40.551274711633994</v>
      </c>
      <c r="C289" s="2">
        <f>control!$E$19*SIN($A289/180*PI())+control!$C$19</f>
        <v>-22.922523391876638</v>
      </c>
      <c r="O289" s="28"/>
    </row>
    <row r="290" spans="1:15" x14ac:dyDescent="0.3">
      <c r="A290">
        <v>287</v>
      </c>
      <c r="B290">
        <f>control!$E$19*COS($A290/180*PI())+control!$B$19</f>
        <v>40.584743409445473</v>
      </c>
      <c r="C290" s="2">
        <f>control!$E$19*SIN($A290/180*PI())+control!$C$19</f>
        <v>-22.912609511926071</v>
      </c>
      <c r="O290" s="28"/>
    </row>
    <row r="291" spans="1:15" x14ac:dyDescent="0.3">
      <c r="A291">
        <v>288</v>
      </c>
      <c r="B291">
        <f>control!$E$19*COS($A291/180*PI())+control!$B$19</f>
        <v>40.618033988749893</v>
      </c>
      <c r="C291" s="2">
        <f>control!$E$19*SIN($A291/180*PI())+control!$C$19</f>
        <v>-22.902113032590307</v>
      </c>
      <c r="O291" s="28"/>
    </row>
    <row r="292" spans="1:15" x14ac:dyDescent="0.3">
      <c r="A292">
        <v>289</v>
      </c>
      <c r="B292">
        <f>control!$E$19*COS($A292/180*PI())+control!$B$19</f>
        <v>40.65113630891431</v>
      </c>
      <c r="C292" s="2">
        <f>control!$E$19*SIN($A292/180*PI())+control!$C$19</f>
        <v>-22.891037151198635</v>
      </c>
      <c r="O292" s="28"/>
    </row>
    <row r="293" spans="1:15" x14ac:dyDescent="0.3">
      <c r="A293">
        <v>290</v>
      </c>
      <c r="B293">
        <f>control!$E$19*COS($A293/180*PI())+control!$B$19</f>
        <v>40.684040286651339</v>
      </c>
      <c r="C293" s="2">
        <f>control!$E$19*SIN($A293/180*PI())+control!$C$19</f>
        <v>-22.879385241571818</v>
      </c>
      <c r="O293" s="28"/>
    </row>
    <row r="294" spans="1:15" x14ac:dyDescent="0.3">
      <c r="A294">
        <v>291</v>
      </c>
      <c r="B294">
        <f>control!$E$19*COS($A294/180*PI())+control!$B$19</f>
        <v>40.716735899090601</v>
      </c>
      <c r="C294" s="2">
        <f>control!$E$19*SIN($A294/180*PI())+control!$C$19</f>
        <v>-22.867160852994402</v>
      </c>
      <c r="O294" s="28"/>
    </row>
    <row r="295" spans="1:15" x14ac:dyDescent="0.3">
      <c r="A295">
        <v>292</v>
      </c>
      <c r="B295">
        <f>control!$E$19*COS($A295/180*PI())+control!$B$19</f>
        <v>40.749213186831824</v>
      </c>
      <c r="C295" s="2">
        <f>control!$E$19*SIN($A295/180*PI())+control!$C$19</f>
        <v>-22.854367709133577</v>
      </c>
      <c r="O295" s="28"/>
    </row>
    <row r="296" spans="1:15" x14ac:dyDescent="0.3">
      <c r="A296">
        <v>293</v>
      </c>
      <c r="B296">
        <f>control!$E$19*COS($A296/180*PI())+control!$B$19</f>
        <v>40.78146225697855</v>
      </c>
      <c r="C296" s="2">
        <f>control!$E$19*SIN($A296/180*PI())+control!$C$19</f>
        <v>-22.841009706904881</v>
      </c>
      <c r="O296" s="28"/>
    </row>
    <row r="297" spans="1:15" x14ac:dyDescent="0.3">
      <c r="A297">
        <v>294</v>
      </c>
      <c r="B297">
        <f>control!$E$19*COS($A297/180*PI())+control!$B$19</f>
        <v>40.813473286151599</v>
      </c>
      <c r="C297" s="2">
        <f>control!$E$19*SIN($A297/180*PI())+control!$C$19</f>
        <v>-22.827090915285201</v>
      </c>
      <c r="O297" s="28"/>
    </row>
    <row r="298" spans="1:15" x14ac:dyDescent="0.3">
      <c r="A298">
        <v>295</v>
      </c>
      <c r="B298">
        <f>control!$E$19*COS($A298/180*PI())+control!$B$19</f>
        <v>40.845236523481397</v>
      </c>
      <c r="C298" s="2">
        <f>control!$E$19*SIN($A298/180*PI())+control!$C$19</f>
        <v>-22.812615574073302</v>
      </c>
      <c r="O298" s="28"/>
    </row>
    <row r="299" spans="1:15" x14ac:dyDescent="0.3">
      <c r="A299">
        <v>296</v>
      </c>
      <c r="B299">
        <f>control!$E$19*COS($A299/180*PI())+control!$B$19</f>
        <v>40.876742293578154</v>
      </c>
      <c r="C299" s="2">
        <f>control!$E$19*SIN($A299/180*PI())+control!$C$19</f>
        <v>-22.797588092598335</v>
      </c>
      <c r="O299" s="28"/>
    </row>
    <row r="300" spans="1:15" x14ac:dyDescent="0.3">
      <c r="A300">
        <v>297</v>
      </c>
      <c r="B300">
        <f>control!$E$19*COS($A300/180*PI())+control!$B$19</f>
        <v>40.907980999479093</v>
      </c>
      <c r="C300" s="2">
        <f>control!$E$19*SIN($A300/180*PI())+control!$C$19</f>
        <v>-22.782013048376736</v>
      </c>
      <c r="O300" s="28"/>
    </row>
    <row r="301" spans="1:15" x14ac:dyDescent="0.3">
      <c r="A301">
        <v>298</v>
      </c>
      <c r="B301">
        <f>control!$E$19*COS($A301/180*PI())+control!$B$19</f>
        <v>40.938943125571782</v>
      </c>
      <c r="C301" s="2">
        <f>control!$E$19*SIN($A301/180*PI())+control!$C$19</f>
        <v>-22.765895185717856</v>
      </c>
      <c r="O301" s="28"/>
    </row>
    <row r="302" spans="1:15" x14ac:dyDescent="0.3">
      <c r="A302">
        <v>299</v>
      </c>
      <c r="B302">
        <f>control!$E$19*COS($A302/180*PI())+control!$B$19</f>
        <v>40.969619240492676</v>
      </c>
      <c r="C302" s="2">
        <f>control!$E$19*SIN($A302/180*PI())+control!$C$19</f>
        <v>-22.74923941427879</v>
      </c>
      <c r="O302" s="28"/>
    </row>
    <row r="303" spans="1:15" x14ac:dyDescent="0.3">
      <c r="A303">
        <v>300</v>
      </c>
      <c r="B303">
        <f>control!$E$19*COS($A303/180*PI())+control!$B$19</f>
        <v>41</v>
      </c>
      <c r="C303" s="2">
        <f>control!$E$19*SIN($A303/180*PI())+control!$C$19</f>
        <v>-22.732050807568879</v>
      </c>
      <c r="O303" s="28"/>
    </row>
    <row r="304" spans="1:15" x14ac:dyDescent="0.3">
      <c r="A304">
        <v>301</v>
      </c>
      <c r="B304">
        <f>control!$E$19*COS($A304/180*PI())+control!$B$19</f>
        <v>41.030076149820111</v>
      </c>
      <c r="C304" s="2">
        <f>control!$E$19*SIN($A304/180*PI())+control!$C$19</f>
        <v>-22.714334601404225</v>
      </c>
      <c r="O304" s="28"/>
    </row>
    <row r="305" spans="1:15" x14ac:dyDescent="0.3">
      <c r="A305">
        <v>302</v>
      </c>
      <c r="B305">
        <f>control!$E$19*COS($A305/180*PI())+control!$B$19</f>
        <v>41.059838528466408</v>
      </c>
      <c r="C305" s="2">
        <f>control!$E$19*SIN($A305/180*PI())+control!$C$19</f>
        <v>-22.696096192312851</v>
      </c>
      <c r="O305" s="28"/>
    </row>
    <row r="306" spans="1:15" x14ac:dyDescent="0.3">
      <c r="A306">
        <v>303</v>
      </c>
      <c r="B306">
        <f>control!$E$19*COS($A306/180*PI())+control!$B$19</f>
        <v>41.089278070030055</v>
      </c>
      <c r="C306" s="2">
        <f>control!$E$19*SIN($A306/180*PI())+control!$C$19</f>
        <v>-22.677341135890849</v>
      </c>
      <c r="O306" s="28"/>
    </row>
    <row r="307" spans="1:15" x14ac:dyDescent="0.3">
      <c r="A307">
        <v>304</v>
      </c>
      <c r="B307">
        <f>control!$E$19*COS($A307/180*PI())+control!$B$19</f>
        <v>41.118385806941497</v>
      </c>
      <c r="C307" s="2">
        <f>control!$E$19*SIN($A307/180*PI())+control!$C$19</f>
        <v>-22.658075145110082</v>
      </c>
      <c r="O307" s="28"/>
    </row>
    <row r="308" spans="1:15" x14ac:dyDescent="0.3">
      <c r="A308">
        <v>305</v>
      </c>
      <c r="B308">
        <f>control!$E$19*COS($A308/180*PI())+control!$B$19</f>
        <v>41.147152872702094</v>
      </c>
      <c r="C308" s="2">
        <f>control!$E$19*SIN($A308/180*PI())+control!$C$19</f>
        <v>-22.638304088577982</v>
      </c>
      <c r="O308" s="28"/>
    </row>
    <row r="309" spans="1:15" x14ac:dyDescent="0.3">
      <c r="A309">
        <v>306</v>
      </c>
      <c r="B309">
        <f>control!$E$19*COS($A309/180*PI())+control!$B$19</f>
        <v>41.175570504584947</v>
      </c>
      <c r="C309" s="2">
        <f>control!$E$19*SIN($A309/180*PI())+control!$C$19</f>
        <v>-22.618033988749897</v>
      </c>
      <c r="O309" s="28"/>
    </row>
    <row r="310" spans="1:15" x14ac:dyDescent="0.3">
      <c r="A310">
        <v>307</v>
      </c>
      <c r="B310">
        <f>control!$E$19*COS($A310/180*PI())+control!$B$19</f>
        <v>41.203630046304099</v>
      </c>
      <c r="C310" s="2">
        <f>control!$E$19*SIN($A310/180*PI())+control!$C$19</f>
        <v>-22.597271020094585</v>
      </c>
      <c r="O310" s="28"/>
    </row>
    <row r="311" spans="1:15" x14ac:dyDescent="0.3">
      <c r="A311">
        <v>308</v>
      </c>
      <c r="B311">
        <f>control!$E$19*COS($A311/180*PI())+control!$B$19</f>
        <v>41.231322950651318</v>
      </c>
      <c r="C311" s="2">
        <f>control!$E$19*SIN($A311/180*PI())+control!$C$19</f>
        <v>-22.576021507213444</v>
      </c>
      <c r="O311" s="28"/>
    </row>
    <row r="312" spans="1:15" x14ac:dyDescent="0.3">
      <c r="A312">
        <v>309</v>
      </c>
      <c r="B312">
        <f>control!$E$19*COS($A312/180*PI())+control!$B$19</f>
        <v>41.258640782099675</v>
      </c>
      <c r="C312" s="2">
        <f>control!$E$19*SIN($A312/180*PI())+control!$C$19</f>
        <v>-22.554291922913944</v>
      </c>
      <c r="O312" s="28"/>
    </row>
    <row r="313" spans="1:15" x14ac:dyDescent="0.3">
      <c r="A313">
        <v>310</v>
      </c>
      <c r="B313">
        <f>control!$E$19*COS($A313/180*PI())+control!$B$19</f>
        <v>41.285575219373079</v>
      </c>
      <c r="C313" s="2">
        <f>control!$E$19*SIN($A313/180*PI())+control!$C$19</f>
        <v>-22.532088886237958</v>
      </c>
      <c r="O313" s="28"/>
    </row>
    <row r="314" spans="1:15" x14ac:dyDescent="0.3">
      <c r="A314">
        <v>311</v>
      </c>
      <c r="B314">
        <f>control!$E$19*COS($A314/180*PI())+control!$B$19</f>
        <v>41.312118057981017</v>
      </c>
      <c r="C314" s="2">
        <f>control!$E$19*SIN($A314/180*PI())+control!$C$19</f>
        <v>-22.509419160445546</v>
      </c>
      <c r="O314" s="28"/>
    </row>
    <row r="315" spans="1:15" x14ac:dyDescent="0.3">
      <c r="A315">
        <v>312</v>
      </c>
      <c r="B315">
        <f>control!$E$19*COS($A315/180*PI())+control!$B$19</f>
        <v>41.338261212717718</v>
      </c>
      <c r="C315" s="2">
        <f>control!$E$19*SIN($A315/180*PI())+control!$C$19</f>
        <v>-22.486289650954788</v>
      </c>
      <c r="O315" s="28"/>
    </row>
    <row r="316" spans="1:15" x14ac:dyDescent="0.3">
      <c r="A316">
        <v>313</v>
      </c>
      <c r="B316">
        <f>control!$E$19*COS($A316/180*PI())+control!$B$19</f>
        <v>41.363996720124995</v>
      </c>
      <c r="C316" s="2">
        <f>control!$E$19*SIN($A316/180*PI())+control!$C$19</f>
        <v>-22.46270740323834</v>
      </c>
      <c r="O316" s="28"/>
    </row>
    <row r="317" spans="1:15" x14ac:dyDescent="0.3">
      <c r="A317">
        <v>314</v>
      </c>
      <c r="B317">
        <f>control!$E$19*COS($A317/180*PI())+control!$B$19</f>
        <v>41.389316740917991</v>
      </c>
      <c r="C317" s="2">
        <f>control!$E$19*SIN($A317/180*PI())+control!$C$19</f>
        <v>-22.438679600677304</v>
      </c>
      <c r="O317" s="28"/>
    </row>
    <row r="318" spans="1:15" x14ac:dyDescent="0.3">
      <c r="A318">
        <v>315</v>
      </c>
      <c r="B318">
        <f>control!$E$19*COS($A318/180*PI())+control!$B$19</f>
        <v>41.414213562373092</v>
      </c>
      <c r="C318" s="2">
        <f>control!$E$19*SIN($A318/180*PI())+control!$C$19</f>
        <v>-22.414213562373096</v>
      </c>
      <c r="O318" s="28"/>
    </row>
    <row r="319" spans="1:15" x14ac:dyDescent="0.3">
      <c r="A319">
        <v>316</v>
      </c>
      <c r="B319">
        <f>control!$E$19*COS($A319/180*PI())+control!$B$19</f>
        <v>41.438679600677304</v>
      </c>
      <c r="C319" s="2">
        <f>control!$E$19*SIN($A319/180*PI())+control!$C$19</f>
        <v>-22.389316740917995</v>
      </c>
      <c r="O319" s="28"/>
    </row>
    <row r="320" spans="1:15" x14ac:dyDescent="0.3">
      <c r="A320">
        <v>317</v>
      </c>
      <c r="B320">
        <f>control!$E$19*COS($A320/180*PI())+control!$B$19</f>
        <v>41.46270740323834</v>
      </c>
      <c r="C320" s="2">
        <f>control!$E$19*SIN($A320/180*PI())+control!$C$19</f>
        <v>-22.363996720124998</v>
      </c>
      <c r="O320" s="28"/>
    </row>
    <row r="321" spans="1:15" x14ac:dyDescent="0.3">
      <c r="A321">
        <v>318</v>
      </c>
      <c r="B321">
        <f>control!$E$19*COS($A321/180*PI())+control!$B$19</f>
        <v>41.486289650954788</v>
      </c>
      <c r="C321" s="2">
        <f>control!$E$19*SIN($A321/180*PI())+control!$C$19</f>
        <v>-22.338261212717718</v>
      </c>
      <c r="O321" s="28"/>
    </row>
    <row r="322" spans="1:15" x14ac:dyDescent="0.3">
      <c r="A322">
        <v>319</v>
      </c>
      <c r="B322">
        <f>control!$E$19*COS($A322/180*PI())+control!$B$19</f>
        <v>41.509419160445546</v>
      </c>
      <c r="C322" s="2">
        <f>control!$E$19*SIN($A322/180*PI())+control!$C$19</f>
        <v>-22.312118057981014</v>
      </c>
      <c r="O322" s="28"/>
    </row>
    <row r="323" spans="1:15" x14ac:dyDescent="0.3">
      <c r="A323">
        <v>320</v>
      </c>
      <c r="B323">
        <f>control!$E$19*COS($A323/180*PI())+control!$B$19</f>
        <v>41.532088886237958</v>
      </c>
      <c r="C323" s="2">
        <f>control!$E$19*SIN($A323/180*PI())+control!$C$19</f>
        <v>-22.285575219373079</v>
      </c>
      <c r="O323" s="28"/>
    </row>
    <row r="324" spans="1:15" x14ac:dyDescent="0.3">
      <c r="A324">
        <v>321</v>
      </c>
      <c r="B324">
        <f>control!$E$19*COS($A324/180*PI())+control!$B$19</f>
        <v>41.55429192291394</v>
      </c>
      <c r="C324" s="2">
        <f>control!$E$19*SIN($A324/180*PI())+control!$C$19</f>
        <v>-22.258640782099675</v>
      </c>
      <c r="O324" s="28"/>
    </row>
    <row r="325" spans="1:15" x14ac:dyDescent="0.3">
      <c r="A325">
        <v>322</v>
      </c>
      <c r="B325">
        <f>control!$E$19*COS($A325/180*PI())+control!$B$19</f>
        <v>41.576021507213447</v>
      </c>
      <c r="C325" s="2">
        <f>control!$E$19*SIN($A325/180*PI())+control!$C$19</f>
        <v>-22.231322950651318</v>
      </c>
      <c r="O325" s="28"/>
    </row>
    <row r="326" spans="1:15" x14ac:dyDescent="0.3">
      <c r="A326">
        <v>323</v>
      </c>
      <c r="B326">
        <f>control!$E$19*COS($A326/180*PI())+control!$B$19</f>
        <v>41.597271020094588</v>
      </c>
      <c r="C326" s="2">
        <f>control!$E$19*SIN($A326/180*PI())+control!$C$19</f>
        <v>-22.203630046304095</v>
      </c>
      <c r="O326" s="28"/>
    </row>
    <row r="327" spans="1:15" x14ac:dyDescent="0.3">
      <c r="A327">
        <v>324</v>
      </c>
      <c r="B327">
        <f>control!$E$19*COS($A327/180*PI())+control!$B$19</f>
        <v>41.618033988749893</v>
      </c>
      <c r="C327" s="2">
        <f>control!$E$19*SIN($A327/180*PI())+control!$C$19</f>
        <v>-22.175570504584947</v>
      </c>
      <c r="O327" s="28"/>
    </row>
    <row r="328" spans="1:15" x14ac:dyDescent="0.3">
      <c r="A328">
        <v>325</v>
      </c>
      <c r="B328">
        <f>control!$E$19*COS($A328/180*PI())+control!$B$19</f>
        <v>41.638304088577982</v>
      </c>
      <c r="C328" s="2">
        <f>control!$E$19*SIN($A328/180*PI())+control!$C$19</f>
        <v>-22.147152872702094</v>
      </c>
      <c r="O328" s="28"/>
    </row>
    <row r="329" spans="1:15" x14ac:dyDescent="0.3">
      <c r="A329">
        <v>326</v>
      </c>
      <c r="B329">
        <f>control!$E$19*COS($A329/180*PI())+control!$B$19</f>
        <v>41.658075145110082</v>
      </c>
      <c r="C329" s="2">
        <f>control!$E$19*SIN($A329/180*PI())+control!$C$19</f>
        <v>-22.118385806941493</v>
      </c>
      <c r="O329" s="28"/>
    </row>
    <row r="330" spans="1:15" x14ac:dyDescent="0.3">
      <c r="A330">
        <v>327</v>
      </c>
      <c r="B330">
        <f>control!$E$19*COS($A330/180*PI())+control!$B$19</f>
        <v>41.677341135890849</v>
      </c>
      <c r="C330" s="2">
        <f>control!$E$19*SIN($A330/180*PI())+control!$C$19</f>
        <v>-22.089278070030055</v>
      </c>
      <c r="O330" s="28"/>
    </row>
    <row r="331" spans="1:15" x14ac:dyDescent="0.3">
      <c r="A331">
        <v>328</v>
      </c>
      <c r="B331">
        <f>control!$E$19*COS($A331/180*PI())+control!$B$19</f>
        <v>41.696096192312851</v>
      </c>
      <c r="C331" s="2">
        <f>control!$E$19*SIN($A331/180*PI())+control!$C$19</f>
        <v>-22.059838528466411</v>
      </c>
      <c r="O331" s="28"/>
    </row>
    <row r="332" spans="1:15" x14ac:dyDescent="0.3">
      <c r="A332">
        <v>329</v>
      </c>
      <c r="B332">
        <f>control!$E$19*COS($A332/180*PI())+control!$B$19</f>
        <v>41.714334601404225</v>
      </c>
      <c r="C332" s="2">
        <f>control!$E$19*SIN($A332/180*PI())+control!$C$19</f>
        <v>-22.030076149820108</v>
      </c>
      <c r="O332" s="28"/>
    </row>
    <row r="333" spans="1:15" x14ac:dyDescent="0.3">
      <c r="A333">
        <v>330</v>
      </c>
      <c r="B333">
        <f>control!$E$19*COS($A333/180*PI())+control!$B$19</f>
        <v>41.732050807568875</v>
      </c>
      <c r="C333" s="2">
        <f>control!$E$19*SIN($A333/180*PI())+control!$C$19</f>
        <v>-22</v>
      </c>
      <c r="O333" s="28"/>
    </row>
    <row r="334" spans="1:15" x14ac:dyDescent="0.3">
      <c r="A334">
        <v>331</v>
      </c>
      <c r="B334">
        <f>control!$E$19*COS($A334/180*PI())+control!$B$19</f>
        <v>41.74923941427879</v>
      </c>
      <c r="C334" s="2">
        <f>control!$E$19*SIN($A334/180*PI())+control!$C$19</f>
        <v>-21.969619240492676</v>
      </c>
      <c r="O334" s="28"/>
    </row>
    <row r="335" spans="1:15" x14ac:dyDescent="0.3">
      <c r="A335">
        <v>332</v>
      </c>
      <c r="B335">
        <f>control!$E$19*COS($A335/180*PI())+control!$B$19</f>
        <v>41.765895185717852</v>
      </c>
      <c r="C335" s="2">
        <f>control!$E$19*SIN($A335/180*PI())+control!$C$19</f>
        <v>-21.938943125571782</v>
      </c>
      <c r="O335" s="28"/>
    </row>
    <row r="336" spans="1:15" x14ac:dyDescent="0.3">
      <c r="A336">
        <v>333</v>
      </c>
      <c r="B336">
        <f>control!$E$19*COS($A336/180*PI())+control!$B$19</f>
        <v>41.782013048376733</v>
      </c>
      <c r="C336" s="2">
        <f>control!$E$19*SIN($A336/180*PI())+control!$C$19</f>
        <v>-21.907980999479093</v>
      </c>
      <c r="O336" s="28"/>
    </row>
    <row r="337" spans="1:15" x14ac:dyDescent="0.3">
      <c r="A337">
        <v>334</v>
      </c>
      <c r="B337">
        <f>control!$E$19*COS($A337/180*PI())+control!$B$19</f>
        <v>41.797588092598332</v>
      </c>
      <c r="C337" s="2">
        <f>control!$E$19*SIN($A337/180*PI())+control!$C$19</f>
        <v>-21.876742293578154</v>
      </c>
      <c r="O337" s="28"/>
    </row>
    <row r="338" spans="1:15" x14ac:dyDescent="0.3">
      <c r="A338">
        <v>335</v>
      </c>
      <c r="B338">
        <f>control!$E$19*COS($A338/180*PI())+control!$B$19</f>
        <v>41.812615574073298</v>
      </c>
      <c r="C338" s="2">
        <f>control!$E$19*SIN($A338/180*PI())+control!$C$19</f>
        <v>-21.845236523481397</v>
      </c>
      <c r="O338" s="28"/>
    </row>
    <row r="339" spans="1:15" x14ac:dyDescent="0.3">
      <c r="A339">
        <v>336</v>
      </c>
      <c r="B339">
        <f>control!$E$19*COS($A339/180*PI())+control!$B$19</f>
        <v>41.827090915285204</v>
      </c>
      <c r="C339" s="2">
        <f>control!$E$19*SIN($A339/180*PI())+control!$C$19</f>
        <v>-21.813473286151599</v>
      </c>
      <c r="O339" s="28"/>
    </row>
    <row r="340" spans="1:15" x14ac:dyDescent="0.3">
      <c r="A340">
        <v>337</v>
      </c>
      <c r="B340">
        <f>control!$E$19*COS($A340/180*PI())+control!$B$19</f>
        <v>41.841009706904877</v>
      </c>
      <c r="C340" s="2">
        <f>control!$E$19*SIN($A340/180*PI())+control!$C$19</f>
        <v>-21.781462256978546</v>
      </c>
      <c r="O340" s="28"/>
    </row>
    <row r="341" spans="1:15" x14ac:dyDescent="0.3">
      <c r="A341">
        <v>338</v>
      </c>
      <c r="B341">
        <f>control!$E$19*COS($A341/180*PI())+control!$B$19</f>
        <v>41.854367709133577</v>
      </c>
      <c r="C341" s="2">
        <f>control!$E$19*SIN($A341/180*PI())+control!$C$19</f>
        <v>-21.749213186831824</v>
      </c>
      <c r="O341" s="28"/>
    </row>
    <row r="342" spans="1:15" x14ac:dyDescent="0.3">
      <c r="A342">
        <v>339</v>
      </c>
      <c r="B342">
        <f>control!$E$19*COS($A342/180*PI())+control!$B$19</f>
        <v>41.867160852994402</v>
      </c>
      <c r="C342" s="2">
        <f>control!$E$19*SIN($A342/180*PI())+control!$C$19</f>
        <v>-21.716735899090601</v>
      </c>
      <c r="O342" s="28"/>
    </row>
    <row r="343" spans="1:15" x14ac:dyDescent="0.3">
      <c r="A343">
        <v>340</v>
      </c>
      <c r="B343">
        <f>control!$E$19*COS($A343/180*PI())+control!$B$19</f>
        <v>41.879385241571818</v>
      </c>
      <c r="C343" s="2">
        <f>control!$E$19*SIN($A343/180*PI())+control!$C$19</f>
        <v>-21.684040286651339</v>
      </c>
      <c r="O343" s="28"/>
    </row>
    <row r="344" spans="1:15" x14ac:dyDescent="0.3">
      <c r="A344">
        <v>341</v>
      </c>
      <c r="B344">
        <f>control!$E$19*COS($A344/180*PI())+control!$B$19</f>
        <v>41.891037151198631</v>
      </c>
      <c r="C344" s="2">
        <f>control!$E$19*SIN($A344/180*PI())+control!$C$19</f>
        <v>-21.651136308914314</v>
      </c>
      <c r="O344" s="28"/>
    </row>
    <row r="345" spans="1:15" x14ac:dyDescent="0.3">
      <c r="A345">
        <v>342</v>
      </c>
      <c r="B345">
        <f>control!$E$19*COS($A345/180*PI())+control!$B$19</f>
        <v>41.902113032590307</v>
      </c>
      <c r="C345" s="2">
        <f>control!$E$19*SIN($A345/180*PI())+control!$C$19</f>
        <v>-21.618033988749897</v>
      </c>
      <c r="O345" s="28"/>
    </row>
    <row r="346" spans="1:15" x14ac:dyDescent="0.3">
      <c r="A346">
        <v>343</v>
      </c>
      <c r="B346">
        <f>control!$E$19*COS($A346/180*PI())+control!$B$19</f>
        <v>41.912609511926071</v>
      </c>
      <c r="C346" s="2">
        <f>control!$E$19*SIN($A346/180*PI())+control!$C$19</f>
        <v>-21.584743409445473</v>
      </c>
      <c r="O346" s="28"/>
    </row>
    <row r="347" spans="1:15" x14ac:dyDescent="0.3">
      <c r="A347">
        <v>344</v>
      </c>
      <c r="B347">
        <f>control!$E$19*COS($A347/180*PI())+control!$B$19</f>
        <v>41.922523391876638</v>
      </c>
      <c r="C347" s="2">
        <f>control!$E$19*SIN($A347/180*PI())+control!$C$19</f>
        <v>-21.551274711633997</v>
      </c>
      <c r="O347" s="28"/>
    </row>
    <row r="348" spans="1:15" x14ac:dyDescent="0.3">
      <c r="A348">
        <v>345</v>
      </c>
      <c r="B348">
        <f>control!$E$19*COS($A348/180*PI())+control!$B$19</f>
        <v>41.931851652578139</v>
      </c>
      <c r="C348" s="2">
        <f>control!$E$19*SIN($A348/180*PI())+control!$C$19</f>
        <v>-21.51763809020504</v>
      </c>
      <c r="O348" s="28"/>
    </row>
    <row r="349" spans="1:15" x14ac:dyDescent="0.3">
      <c r="A349">
        <v>346</v>
      </c>
      <c r="B349">
        <f>control!$E$19*COS($A349/180*PI())+control!$B$19</f>
        <v>41.940591452551992</v>
      </c>
      <c r="C349" s="2">
        <f>control!$E$19*SIN($A349/180*PI())+control!$C$19</f>
        <v>-21.483843791199337</v>
      </c>
      <c r="O349" s="28"/>
    </row>
    <row r="350" spans="1:15" x14ac:dyDescent="0.3">
      <c r="A350">
        <v>347</v>
      </c>
      <c r="B350">
        <f>control!$E$19*COS($A350/180*PI())+control!$B$19</f>
        <v>41.948740129570467</v>
      </c>
      <c r="C350" s="2">
        <f>control!$E$19*SIN($A350/180*PI())+control!$C$19</f>
        <v>-21.449902108687731</v>
      </c>
      <c r="O350" s="28"/>
    </row>
    <row r="351" spans="1:15" x14ac:dyDescent="0.3">
      <c r="A351">
        <v>348</v>
      </c>
      <c r="B351">
        <f>control!$E$19*COS($A351/180*PI())+control!$B$19</f>
        <v>41.956295201467611</v>
      </c>
      <c r="C351" s="2">
        <f>control!$E$19*SIN($A351/180*PI())+control!$C$19</f>
        <v>-21.415823381635519</v>
      </c>
      <c r="O351" s="28"/>
    </row>
    <row r="352" spans="1:15" x14ac:dyDescent="0.3">
      <c r="A352">
        <v>349</v>
      </c>
      <c r="B352">
        <f>control!$E$19*COS($A352/180*PI())+control!$B$19</f>
        <v>41.963254366895328</v>
      </c>
      <c r="C352" s="2">
        <f>control!$E$19*SIN($A352/180*PI())+control!$C$19</f>
        <v>-21.381617990753089</v>
      </c>
      <c r="O352" s="28"/>
    </row>
    <row r="353" spans="1:15" x14ac:dyDescent="0.3">
      <c r="A353">
        <v>350</v>
      </c>
      <c r="B353">
        <f>control!$E$19*COS($A353/180*PI())+control!$B$19</f>
        <v>41.969615506024418</v>
      </c>
      <c r="C353" s="2">
        <f>control!$E$19*SIN($A353/180*PI())+control!$C$19</f>
        <v>-21.34729635533386</v>
      </c>
      <c r="O353" s="28"/>
    </row>
    <row r="354" spans="1:15" x14ac:dyDescent="0.3">
      <c r="A354">
        <v>351</v>
      </c>
      <c r="B354">
        <f>control!$E$19*COS($A354/180*PI())+control!$B$19</f>
        <v>41.975376681190276</v>
      </c>
      <c r="C354" s="2">
        <f>control!$E$19*SIN($A354/180*PI())+control!$C$19</f>
        <v>-21.312868930080462</v>
      </c>
      <c r="O354" s="28"/>
    </row>
    <row r="355" spans="1:15" x14ac:dyDescent="0.3">
      <c r="A355">
        <v>352</v>
      </c>
      <c r="B355">
        <f>control!$E$19*COS($A355/180*PI())+control!$B$19</f>
        <v>41.980536137483142</v>
      </c>
      <c r="C355" s="2">
        <f>control!$E$19*SIN($A355/180*PI())+control!$C$19</f>
        <v>-21.278346201920133</v>
      </c>
      <c r="O355" s="28"/>
    </row>
    <row r="356" spans="1:15" x14ac:dyDescent="0.3">
      <c r="A356">
        <v>353</v>
      </c>
      <c r="B356">
        <f>control!$E$19*COS($A356/180*PI())+control!$B$19</f>
        <v>41.985092303282642</v>
      </c>
      <c r="C356" s="2">
        <f>control!$E$19*SIN($A356/180*PI())+control!$C$19</f>
        <v>-21.243738686810296</v>
      </c>
      <c r="O356" s="28"/>
    </row>
    <row r="357" spans="1:15" x14ac:dyDescent="0.3">
      <c r="A357">
        <v>354</v>
      </c>
      <c r="B357">
        <f>control!$E$19*COS($A357/180*PI())+control!$B$19</f>
        <v>41.989043790736545</v>
      </c>
      <c r="C357" s="2">
        <f>control!$E$19*SIN($A357/180*PI())+control!$C$19</f>
        <v>-21.209056926535307</v>
      </c>
      <c r="O357" s="28"/>
    </row>
    <row r="358" spans="1:15" x14ac:dyDescent="0.3">
      <c r="A358">
        <v>355</v>
      </c>
      <c r="B358">
        <f>control!$E$19*COS($A358/180*PI())+control!$B$19</f>
        <v>41.992389396183491</v>
      </c>
      <c r="C358" s="2">
        <f>control!$E$19*SIN($A358/180*PI())+control!$C$19</f>
        <v>-21.174311485495316</v>
      </c>
      <c r="O358" s="28"/>
    </row>
    <row r="359" spans="1:15" x14ac:dyDescent="0.3">
      <c r="A359">
        <v>356</v>
      </c>
      <c r="B359">
        <f>control!$E$19*COS($A359/180*PI())+control!$B$19</f>
        <v>41.995128100519651</v>
      </c>
      <c r="C359" s="2">
        <f>control!$E$19*SIN($A359/180*PI())+control!$C$19</f>
        <v>-21.139512947488249</v>
      </c>
      <c r="O359" s="28"/>
    </row>
    <row r="360" spans="1:15" x14ac:dyDescent="0.3">
      <c r="A360">
        <v>357</v>
      </c>
      <c r="B360">
        <f>control!$E$19*COS($A360/180*PI())+control!$B$19</f>
        <v>41.997259069509148</v>
      </c>
      <c r="C360" s="2">
        <f>control!$E$19*SIN($A360/180*PI())+control!$C$19</f>
        <v>-21.104671912485887</v>
      </c>
      <c r="O360" s="28"/>
    </row>
    <row r="361" spans="1:15" x14ac:dyDescent="0.3">
      <c r="A361">
        <v>358</v>
      </c>
      <c r="B361">
        <f>control!$E$19*COS($A361/180*PI())+control!$B$19</f>
        <v>41.99878165403819</v>
      </c>
      <c r="C361" s="2">
        <f>control!$E$19*SIN($A361/180*PI())+control!$C$19</f>
        <v>-21.069798993405001</v>
      </c>
      <c r="O361" s="28"/>
    </row>
    <row r="362" spans="1:15" x14ac:dyDescent="0.3">
      <c r="A362">
        <v>359</v>
      </c>
      <c r="B362">
        <f>control!$E$19*COS($A362/180*PI())+control!$B$19</f>
        <v>41.99969539031278</v>
      </c>
      <c r="C362" s="2">
        <f>control!$E$19*SIN($A362/180*PI())+control!$C$19</f>
        <v>-21.034904812874569</v>
      </c>
      <c r="O362" s="28"/>
    </row>
    <row r="363" spans="1:15" x14ac:dyDescent="0.3">
      <c r="A363">
        <v>360</v>
      </c>
      <c r="B363">
        <f>control!$E$19*COS($A363/180*PI())+control!$B$19</f>
        <v>42</v>
      </c>
      <c r="C363" s="2">
        <f>control!$E$19*SIN($A363/180*PI())+control!$C$19</f>
        <v>-21</v>
      </c>
      <c r="O363" s="28"/>
    </row>
  </sheetData>
  <mergeCells count="10">
    <mergeCell ref="K49:L49"/>
    <mergeCell ref="AC14:AF14"/>
    <mergeCell ref="Y14:AB14"/>
    <mergeCell ref="U14:X14"/>
    <mergeCell ref="Q14:T14"/>
    <mergeCell ref="M14:P14"/>
    <mergeCell ref="AG1:AH1"/>
    <mergeCell ref="A1:C1"/>
    <mergeCell ref="D1:E1"/>
    <mergeCell ref="F1:G1"/>
  </mergeCells>
  <phoneticPr fontId="1" type="noConversion"/>
  <conditionalFormatting sqref="K49:L49">
    <cfRule type="containsText" dxfId="2" priority="2" operator="containsText" text="TRUE">
      <formula>NOT(ISERROR(SEARCH("TRUE",K49)))</formula>
    </cfRule>
    <cfRule type="containsText" dxfId="3" priority="1" operator="containsText" text="FALSE">
      <formula>NOT(ISERROR(SEARCH("FALSE",K49)))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9FE3-6449-47A2-A96A-FB01E5A966C7}">
  <dimension ref="A1:H94"/>
  <sheetViews>
    <sheetView workbookViewId="0">
      <selection activeCell="J18" sqref="J18"/>
    </sheetView>
  </sheetViews>
  <sheetFormatPr defaultRowHeight="16.2" x14ac:dyDescent="0.3"/>
  <cols>
    <col min="7" max="7" width="11.6640625" customWidth="1"/>
  </cols>
  <sheetData>
    <row r="1" spans="1:8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3">
      <c r="A2">
        <v>2.1798892200000002</v>
      </c>
      <c r="B2">
        <v>0.30649518399999998</v>
      </c>
      <c r="C2">
        <v>1.56882437</v>
      </c>
      <c r="D2">
        <v>1.2580538E-2</v>
      </c>
      <c r="E2">
        <v>5.6719137000000003E-2</v>
      </c>
      <c r="F2">
        <v>105.31653799999999</v>
      </c>
      <c r="G2">
        <v>0.52500000000000002</v>
      </c>
      <c r="H2">
        <f>SQRT(1+$A$2*G2^2/(G2^2-$D$2)+$B$2*G2^2/(G2^2-$E$2)+$C$2*G2^2/(G2^2-$F$2))</f>
        <v>1.9146640555200762</v>
      </c>
    </row>
    <row r="4" spans="1:8" x14ac:dyDescent="0.3">
      <c r="A4">
        <v>0.3</v>
      </c>
      <c r="B4">
        <f>SQRT(1+$A$2*A4^2/(A4^2-$D$2)+$B$2*A4^2/(A4^2-$E$2)+$C$2*A4^2/(A4^2-$F$2))</f>
        <v>2.0884486069222081</v>
      </c>
    </row>
    <row r="5" spans="1:8" x14ac:dyDescent="0.3">
      <c r="A5">
        <v>0.31</v>
      </c>
      <c r="B5">
        <f t="shared" ref="B5:B68" si="0">SQRT(1+$A$2*A5^2/(A5^2-$D$2)+$B$2*A5^2/(A5^2-$E$2)+$C$2*A5^2/(A5^2-$F$2))</f>
        <v>2.062703229247187</v>
      </c>
    </row>
    <row r="6" spans="1:8" x14ac:dyDescent="0.3">
      <c r="A6">
        <v>0.32</v>
      </c>
      <c r="B6">
        <f t="shared" si="0"/>
        <v>2.0422388365135298</v>
      </c>
    </row>
    <row r="7" spans="1:8" x14ac:dyDescent="0.3">
      <c r="A7">
        <v>0.33</v>
      </c>
      <c r="B7">
        <f t="shared" si="0"/>
        <v>2.0254958063945372</v>
      </c>
    </row>
    <row r="8" spans="1:8" x14ac:dyDescent="0.3">
      <c r="A8">
        <v>0.34</v>
      </c>
      <c r="B8">
        <f t="shared" si="0"/>
        <v>2.0114937296307995</v>
      </c>
    </row>
    <row r="9" spans="1:8" x14ac:dyDescent="0.3">
      <c r="A9">
        <v>0.35</v>
      </c>
      <c r="B9">
        <f t="shared" si="0"/>
        <v>1.9995810628478496</v>
      </c>
    </row>
    <row r="10" spans="1:8" x14ac:dyDescent="0.3">
      <c r="A10">
        <v>0.36</v>
      </c>
      <c r="B10">
        <f t="shared" si="0"/>
        <v>1.9893052545431686</v>
      </c>
    </row>
    <row r="11" spans="1:8" x14ac:dyDescent="0.3">
      <c r="A11">
        <v>0.37</v>
      </c>
      <c r="B11">
        <f t="shared" si="0"/>
        <v>1.9803404959397266</v>
      </c>
    </row>
    <row r="12" spans="1:8" x14ac:dyDescent="0.3">
      <c r="A12">
        <v>0.38</v>
      </c>
      <c r="B12">
        <f t="shared" si="0"/>
        <v>1.9724451830380152</v>
      </c>
    </row>
    <row r="13" spans="1:8" x14ac:dyDescent="0.3">
      <c r="A13">
        <v>0.39</v>
      </c>
      <c r="B13">
        <f t="shared" si="0"/>
        <v>1.9654356650737013</v>
      </c>
    </row>
    <row r="14" spans="1:8" x14ac:dyDescent="0.3">
      <c r="A14">
        <v>0.4</v>
      </c>
      <c r="B14">
        <f t="shared" si="0"/>
        <v>1.9591693880005929</v>
      </c>
    </row>
    <row r="15" spans="1:8" x14ac:dyDescent="0.3">
      <c r="A15">
        <v>0.41</v>
      </c>
      <c r="B15">
        <f t="shared" si="0"/>
        <v>1.9535336972424291</v>
      </c>
    </row>
    <row r="16" spans="1:8" x14ac:dyDescent="0.3">
      <c r="A16">
        <v>0.42</v>
      </c>
      <c r="B16">
        <f t="shared" si="0"/>
        <v>1.9484381785099745</v>
      </c>
    </row>
    <row r="17" spans="1:2" x14ac:dyDescent="0.3">
      <c r="A17">
        <v>0.43</v>
      </c>
      <c r="B17">
        <f t="shared" si="0"/>
        <v>1.9438092831406564</v>
      </c>
    </row>
    <row r="18" spans="1:2" x14ac:dyDescent="0.3">
      <c r="A18">
        <v>0.44</v>
      </c>
      <c r="B18">
        <f t="shared" si="0"/>
        <v>1.9395864709124688</v>
      </c>
    </row>
    <row r="19" spans="1:2" x14ac:dyDescent="0.3">
      <c r="A19">
        <v>0.45</v>
      </c>
      <c r="B19">
        <f t="shared" si="0"/>
        <v>1.9357193863640714</v>
      </c>
    </row>
    <row r="20" spans="1:2" x14ac:dyDescent="0.3">
      <c r="A20">
        <v>0.46</v>
      </c>
      <c r="B20">
        <f t="shared" si="0"/>
        <v>1.932165754847349</v>
      </c>
    </row>
    <row r="21" spans="1:2" x14ac:dyDescent="0.3">
      <c r="A21">
        <v>0.47</v>
      </c>
      <c r="B21">
        <f t="shared" si="0"/>
        <v>1.928889789882835</v>
      </c>
    </row>
    <row r="22" spans="1:2" x14ac:dyDescent="0.3">
      <c r="A22">
        <v>0.48</v>
      </c>
      <c r="B22">
        <f t="shared" si="0"/>
        <v>1.9258609703126019</v>
      </c>
    </row>
    <row r="23" spans="1:2" x14ac:dyDescent="0.3">
      <c r="A23">
        <v>0.49</v>
      </c>
      <c r="B23">
        <f t="shared" si="0"/>
        <v>1.9230530892704434</v>
      </c>
    </row>
    <row r="24" spans="1:2" x14ac:dyDescent="0.3">
      <c r="A24">
        <v>0.5</v>
      </c>
      <c r="B24">
        <f t="shared" si="0"/>
        <v>1.9204435059040212</v>
      </c>
    </row>
    <row r="25" spans="1:2" x14ac:dyDescent="0.3">
      <c r="A25">
        <v>0.51</v>
      </c>
      <c r="B25">
        <f t="shared" si="0"/>
        <v>1.9180125503670753</v>
      </c>
    </row>
    <row r="26" spans="1:2" x14ac:dyDescent="0.3">
      <c r="A26">
        <v>0.52</v>
      </c>
      <c r="B26">
        <f t="shared" si="0"/>
        <v>1.915743046099355</v>
      </c>
    </row>
    <row r="27" spans="1:2" x14ac:dyDescent="0.3">
      <c r="A27">
        <v>0.53</v>
      </c>
      <c r="B27">
        <f t="shared" si="0"/>
        <v>1.9136199228693549</v>
      </c>
    </row>
    <row r="28" spans="1:2" x14ac:dyDescent="0.3">
      <c r="A28">
        <v>0.54</v>
      </c>
      <c r="B28">
        <f t="shared" si="0"/>
        <v>1.9116299007798572</v>
      </c>
    </row>
    <row r="29" spans="1:2" x14ac:dyDescent="0.3">
      <c r="A29">
        <v>0.55000000000000004</v>
      </c>
      <c r="B29">
        <f t="shared" si="0"/>
        <v>1.909761230284257</v>
      </c>
    </row>
    <row r="30" spans="1:2" x14ac:dyDescent="0.3">
      <c r="A30">
        <v>0.56000000000000005</v>
      </c>
      <c r="B30">
        <f t="shared" si="0"/>
        <v>1.9080034768011864</v>
      </c>
    </row>
    <row r="31" spans="1:2" x14ac:dyDescent="0.3">
      <c r="A31">
        <v>0.56999999999999995</v>
      </c>
      <c r="B31">
        <f t="shared" si="0"/>
        <v>1.9063473411297747</v>
      </c>
    </row>
    <row r="32" spans="1:2" x14ac:dyDescent="0.3">
      <c r="A32">
        <v>0.57999999999999996</v>
      </c>
      <c r="B32">
        <f t="shared" si="0"/>
        <v>1.9047845088208422</v>
      </c>
    </row>
    <row r="33" spans="1:2" x14ac:dyDescent="0.3">
      <c r="A33">
        <v>0.59</v>
      </c>
      <c r="B33">
        <f t="shared" si="0"/>
        <v>1.9033075231328791</v>
      </c>
    </row>
    <row r="34" spans="1:2" x14ac:dyDescent="0.3">
      <c r="A34">
        <v>0.6</v>
      </c>
      <c r="B34">
        <f t="shared" si="0"/>
        <v>1.9019096773241191</v>
      </c>
    </row>
    <row r="35" spans="1:2" x14ac:dyDescent="0.3">
      <c r="A35">
        <v>0.61</v>
      </c>
      <c r="B35">
        <f t="shared" si="0"/>
        <v>1.900584922894677</v>
      </c>
    </row>
    <row r="36" spans="1:2" x14ac:dyDescent="0.3">
      <c r="A36">
        <v>0.62</v>
      </c>
      <c r="B36">
        <f t="shared" si="0"/>
        <v>1.8993277910612578</v>
      </c>
    </row>
    <row r="37" spans="1:2" x14ac:dyDescent="0.3">
      <c r="A37">
        <v>0.63</v>
      </c>
      <c r="B37">
        <f t="shared" si="0"/>
        <v>1.8981333252691002</v>
      </c>
    </row>
    <row r="38" spans="1:2" x14ac:dyDescent="0.3">
      <c r="A38">
        <v>0.64</v>
      </c>
      <c r="B38">
        <f t="shared" si="0"/>
        <v>1.8969970229566731</v>
      </c>
    </row>
    <row r="39" spans="1:2" x14ac:dyDescent="0.3">
      <c r="A39">
        <v>0.65</v>
      </c>
      <c r="B39">
        <f t="shared" si="0"/>
        <v>1.8959147851141402</v>
      </c>
    </row>
    <row r="40" spans="1:2" x14ac:dyDescent="0.3">
      <c r="A40">
        <v>0.66</v>
      </c>
      <c r="B40">
        <f t="shared" si="0"/>
        <v>1.8948828724361879</v>
      </c>
    </row>
    <row r="41" spans="1:2" x14ac:dyDescent="0.3">
      <c r="A41">
        <v>0.67</v>
      </c>
      <c r="B41">
        <f t="shared" si="0"/>
        <v>1.8938978670780902</v>
      </c>
    </row>
    <row r="42" spans="1:2" x14ac:dyDescent="0.3">
      <c r="A42">
        <v>0.68</v>
      </c>
      <c r="B42">
        <f t="shared" si="0"/>
        <v>1.8929566391919879</v>
      </c>
    </row>
    <row r="43" spans="1:2" x14ac:dyDescent="0.3">
      <c r="A43">
        <v>0.69</v>
      </c>
      <c r="B43">
        <f t="shared" si="0"/>
        <v>1.8920563175567637</v>
      </c>
    </row>
    <row r="44" spans="1:2" x14ac:dyDescent="0.3">
      <c r="A44">
        <v>0.7</v>
      </c>
      <c r="B44">
        <f t="shared" si="0"/>
        <v>1.8911942637261958</v>
      </c>
    </row>
    <row r="45" spans="1:2" x14ac:dyDescent="0.3">
      <c r="A45">
        <v>0.71</v>
      </c>
      <c r="B45">
        <f t="shared" si="0"/>
        <v>1.8903680492112904</v>
      </c>
    </row>
    <row r="46" spans="1:2" x14ac:dyDescent="0.3">
      <c r="A46">
        <v>0.72</v>
      </c>
      <c r="B46">
        <f t="shared" si="0"/>
        <v>1.88957543528786</v>
      </c>
    </row>
    <row r="47" spans="1:2" x14ac:dyDescent="0.3">
      <c r="A47">
        <v>0.73</v>
      </c>
      <c r="B47">
        <f t="shared" si="0"/>
        <v>1.8888143550825853</v>
      </c>
    </row>
    <row r="48" spans="1:2" x14ac:dyDescent="0.3">
      <c r="A48">
        <v>0.74</v>
      </c>
      <c r="B48">
        <f t="shared" si="0"/>
        <v>1.8880828976424682</v>
      </c>
    </row>
    <row r="49" spans="1:2" x14ac:dyDescent="0.3">
      <c r="A49">
        <v>0.75</v>
      </c>
      <c r="B49">
        <f t="shared" si="0"/>
        <v>1.8873792937356877</v>
      </c>
    </row>
    <row r="50" spans="1:2" x14ac:dyDescent="0.3">
      <c r="A50">
        <v>0.76</v>
      </c>
      <c r="B50">
        <f t="shared" si="0"/>
        <v>1.8867019031679861</v>
      </c>
    </row>
    <row r="51" spans="1:2" x14ac:dyDescent="0.3">
      <c r="A51">
        <v>0.77</v>
      </c>
      <c r="B51">
        <f t="shared" si="0"/>
        <v>1.8860492034290492</v>
      </c>
    </row>
    <row r="52" spans="1:2" x14ac:dyDescent="0.3">
      <c r="A52">
        <v>0.78</v>
      </c>
      <c r="B52">
        <f t="shared" si="0"/>
        <v>1.8854197795089684</v>
      </c>
    </row>
    <row r="53" spans="1:2" x14ac:dyDescent="0.3">
      <c r="A53">
        <v>0.79</v>
      </c>
      <c r="B53">
        <f t="shared" si="0"/>
        <v>1.8848123147465401</v>
      </c>
    </row>
    <row r="54" spans="1:2" x14ac:dyDescent="0.3">
      <c r="A54">
        <v>0.8</v>
      </c>
      <c r="B54">
        <f t="shared" si="0"/>
        <v>1.8842255825895686</v>
      </c>
    </row>
    <row r="55" spans="1:2" x14ac:dyDescent="0.3">
      <c r="A55">
        <v>0.81</v>
      </c>
      <c r="B55">
        <f t="shared" si="0"/>
        <v>1.8836584391630304</v>
      </c>
    </row>
    <row r="56" spans="1:2" x14ac:dyDescent="0.3">
      <c r="A56">
        <v>0.82</v>
      </c>
      <c r="B56">
        <f t="shared" si="0"/>
        <v>1.8831098165543501</v>
      </c>
    </row>
    <row r="57" spans="1:2" x14ac:dyDescent="0.3">
      <c r="A57">
        <v>0.83</v>
      </c>
      <c r="B57">
        <f t="shared" si="0"/>
        <v>1.8825787167365309</v>
      </c>
    </row>
    <row r="58" spans="1:2" x14ac:dyDescent="0.3">
      <c r="A58">
        <v>0.84</v>
      </c>
      <c r="B58">
        <f t="shared" si="0"/>
        <v>1.8820642060597479</v>
      </c>
    </row>
    <row r="59" spans="1:2" x14ac:dyDescent="0.3">
      <c r="A59">
        <v>0.85</v>
      </c>
      <c r="B59">
        <f t="shared" si="0"/>
        <v>1.881565410250517</v>
      </c>
    </row>
    <row r="60" spans="1:2" x14ac:dyDescent="0.3">
      <c r="A60">
        <v>0.86</v>
      </c>
      <c r="B60">
        <f t="shared" si="0"/>
        <v>1.881081509864895</v>
      </c>
    </row>
    <row r="61" spans="1:2" x14ac:dyDescent="0.3">
      <c r="A61">
        <v>0.87000000000000099</v>
      </c>
      <c r="B61">
        <f t="shared" si="0"/>
        <v>1.8806117361485299</v>
      </c>
    </row>
    <row r="62" spans="1:2" x14ac:dyDescent="0.3">
      <c r="A62">
        <v>0.880000000000001</v>
      </c>
      <c r="B62">
        <f t="shared" si="0"/>
        <v>1.8801553672619011</v>
      </c>
    </row>
    <row r="63" spans="1:2" x14ac:dyDescent="0.3">
      <c r="A63">
        <v>0.89000000000000101</v>
      </c>
      <c r="B63">
        <f t="shared" si="0"/>
        <v>1.8797117248338879</v>
      </c>
    </row>
    <row r="64" spans="1:2" x14ac:dyDescent="0.3">
      <c r="A64">
        <v>0.90000000000000102</v>
      </c>
      <c r="B64">
        <f t="shared" si="0"/>
        <v>1.8792801708109967</v>
      </c>
    </row>
    <row r="65" spans="1:2" x14ac:dyDescent="0.3">
      <c r="A65">
        <v>0.91000000000000103</v>
      </c>
      <c r="B65">
        <f t="shared" si="0"/>
        <v>1.8788601045732365</v>
      </c>
    </row>
    <row r="66" spans="1:2" x14ac:dyDescent="0.3">
      <c r="A66">
        <v>0.92000000000000104</v>
      </c>
      <c r="B66">
        <f t="shared" si="0"/>
        <v>1.8784509602908306</v>
      </c>
    </row>
    <row r="67" spans="1:2" x14ac:dyDescent="0.3">
      <c r="A67">
        <v>0.93000000000000105</v>
      </c>
      <c r="B67">
        <f t="shared" si="0"/>
        <v>1.8780522044987724</v>
      </c>
    </row>
    <row r="68" spans="1:2" x14ac:dyDescent="0.3">
      <c r="A68">
        <v>0.94000000000000095</v>
      </c>
      <c r="B68">
        <f t="shared" si="0"/>
        <v>1.8776633338686939</v>
      </c>
    </row>
    <row r="69" spans="1:2" x14ac:dyDescent="0.3">
      <c r="A69">
        <v>0.95000000000000095</v>
      </c>
      <c r="B69">
        <f t="shared" ref="B69:B94" si="1">SQRT(1+$A$2*A69^2/(A69^2-$D$2)+$B$2*A69^2/(A69^2-$E$2)+$C$2*A69^2/(A69^2-$F$2))</f>
        <v>1.8772838731597001</v>
      </c>
    </row>
    <row r="70" spans="1:2" x14ac:dyDescent="0.3">
      <c r="A70">
        <v>0.96000000000000096</v>
      </c>
      <c r="B70">
        <f t="shared" si="1"/>
        <v>1.8769133733317351</v>
      </c>
    </row>
    <row r="71" spans="1:2" x14ac:dyDescent="0.3">
      <c r="A71">
        <v>0.97000000000000097</v>
      </c>
      <c r="B71">
        <f t="shared" si="1"/>
        <v>1.8765514098067502</v>
      </c>
    </row>
    <row r="72" spans="1:2" x14ac:dyDescent="0.3">
      <c r="A72">
        <v>0.98000000000000098</v>
      </c>
      <c r="B72">
        <f t="shared" si="1"/>
        <v>1.8761975808644358</v>
      </c>
    </row>
    <row r="73" spans="1:2" x14ac:dyDescent="0.3">
      <c r="A73">
        <v>0.99000000000000099</v>
      </c>
      <c r="B73">
        <f t="shared" si="1"/>
        <v>1.8758515061606256</v>
      </c>
    </row>
    <row r="74" spans="1:2" x14ac:dyDescent="0.3">
      <c r="A74">
        <v>1</v>
      </c>
      <c r="B74">
        <f t="shared" si="1"/>
        <v>1.8755128253576487</v>
      </c>
    </row>
    <row r="75" spans="1:2" x14ac:dyDescent="0.3">
      <c r="A75">
        <v>1.01</v>
      </c>
      <c r="B75">
        <f t="shared" si="1"/>
        <v>1.8751811968569696</v>
      </c>
    </row>
    <row r="76" spans="1:2" x14ac:dyDescent="0.3">
      <c r="A76">
        <v>1.02</v>
      </c>
      <c r="B76">
        <f t="shared" si="1"/>
        <v>1.8748562966253919</v>
      </c>
    </row>
    <row r="77" spans="1:2" x14ac:dyDescent="0.3">
      <c r="A77">
        <v>1.03</v>
      </c>
      <c r="B77">
        <f t="shared" si="1"/>
        <v>1.8745378171069302</v>
      </c>
    </row>
    <row r="78" spans="1:2" x14ac:dyDescent="0.3">
      <c r="A78">
        <v>1.04</v>
      </c>
      <c r="B78">
        <f t="shared" si="1"/>
        <v>1.8742254662132174</v>
      </c>
    </row>
    <row r="79" spans="1:2" x14ac:dyDescent="0.3">
      <c r="A79">
        <v>1.05</v>
      </c>
      <c r="B79">
        <f t="shared" si="1"/>
        <v>1.8739189663859652</v>
      </c>
    </row>
    <row r="80" spans="1:2" x14ac:dyDescent="0.3">
      <c r="A80">
        <v>1.0599999999999901</v>
      </c>
      <c r="B80">
        <f t="shared" si="1"/>
        <v>1.8736180537256155</v>
      </c>
    </row>
    <row r="81" spans="1:2" x14ac:dyDescent="0.3">
      <c r="A81">
        <v>1.0699999999999901</v>
      </c>
      <c r="B81">
        <f t="shared" si="1"/>
        <v>1.8733224771808372</v>
      </c>
    </row>
    <row r="82" spans="1:2" x14ac:dyDescent="0.3">
      <c r="A82">
        <v>1.0799999999999901</v>
      </c>
      <c r="B82">
        <f t="shared" si="1"/>
        <v>1.8730319977940253</v>
      </c>
    </row>
    <row r="83" spans="1:2" x14ac:dyDescent="0.3">
      <c r="A83">
        <v>1.0899999999999901</v>
      </c>
      <c r="B83">
        <f t="shared" si="1"/>
        <v>1.8727463879983801</v>
      </c>
    </row>
    <row r="84" spans="1:2" x14ac:dyDescent="0.3">
      <c r="A84">
        <v>1.0999999999999901</v>
      </c>
      <c r="B84">
        <f t="shared" si="1"/>
        <v>1.8724654309625437</v>
      </c>
    </row>
    <row r="85" spans="1:2" x14ac:dyDescent="0.3">
      <c r="A85">
        <v>1.1099999999999901</v>
      </c>
      <c r="B85">
        <f t="shared" si="1"/>
        <v>1.8721889199791182</v>
      </c>
    </row>
    <row r="86" spans="1:2" x14ac:dyDescent="0.3">
      <c r="A86">
        <v>1.1199999999999899</v>
      </c>
      <c r="B86">
        <f t="shared" si="1"/>
        <v>1.8719166578937145</v>
      </c>
    </row>
    <row r="87" spans="1:2" x14ac:dyDescent="0.3">
      <c r="A87">
        <v>1.1299999999999899</v>
      </c>
      <c r="B87">
        <f t="shared" si="1"/>
        <v>1.8716484565714639</v>
      </c>
    </row>
    <row r="88" spans="1:2" x14ac:dyDescent="0.3">
      <c r="A88">
        <v>1.1399999999999899</v>
      </c>
      <c r="B88">
        <f t="shared" si="1"/>
        <v>1.8713841363981893</v>
      </c>
    </row>
    <row r="89" spans="1:2" x14ac:dyDescent="0.3">
      <c r="A89">
        <v>1.1499999999999899</v>
      </c>
      <c r="B89">
        <f t="shared" si="1"/>
        <v>1.8711235258136616</v>
      </c>
    </row>
    <row r="90" spans="1:2" x14ac:dyDescent="0.3">
      <c r="A90">
        <v>1.1599999999999799</v>
      </c>
      <c r="B90">
        <f t="shared" si="1"/>
        <v>1.8708664608745917</v>
      </c>
    </row>
    <row r="91" spans="1:2" x14ac:dyDescent="0.3">
      <c r="A91">
        <v>1.1699999999999799</v>
      </c>
      <c r="B91">
        <f t="shared" si="1"/>
        <v>1.8706127848451919</v>
      </c>
    </row>
    <row r="92" spans="1:2" x14ac:dyDescent="0.3">
      <c r="A92">
        <v>1.17999999999998</v>
      </c>
      <c r="B92">
        <f t="shared" si="1"/>
        <v>1.8703623478133256</v>
      </c>
    </row>
    <row r="93" spans="1:2" x14ac:dyDescent="0.3">
      <c r="A93">
        <v>1.18999999999998</v>
      </c>
      <c r="B93">
        <f t="shared" si="1"/>
        <v>1.8701150063304171</v>
      </c>
    </row>
    <row r="94" spans="1:2" x14ac:dyDescent="0.3">
      <c r="A94">
        <v>1.19999999999998</v>
      </c>
      <c r="B94">
        <f t="shared" si="1"/>
        <v>1.8698706230734476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BA5F-FFF5-4488-BE81-325D9977B4C2}">
  <dimension ref="A1:C8"/>
  <sheetViews>
    <sheetView workbookViewId="0">
      <selection activeCell="F28" sqref="F28"/>
    </sheetView>
  </sheetViews>
  <sheetFormatPr defaultRowHeight="16.2" x14ac:dyDescent="0.3"/>
  <sheetData>
    <row r="1" spans="1:3" x14ac:dyDescent="0.3">
      <c r="A1" s="31" t="s">
        <v>5</v>
      </c>
      <c r="B1" s="31"/>
      <c r="C1" s="31"/>
    </row>
    <row r="2" spans="1:3" x14ac:dyDescent="0.3">
      <c r="A2">
        <v>16</v>
      </c>
      <c r="B2">
        <v>9</v>
      </c>
      <c r="C2">
        <f>SQRT(A2^2+B2^2)</f>
        <v>18.357559750685819</v>
      </c>
    </row>
    <row r="3" spans="1:3" x14ac:dyDescent="0.3">
      <c r="A3">
        <f>A2*C3/C2</f>
        <v>34.863021484981971</v>
      </c>
      <c r="B3">
        <f>B2*C3/C2</f>
        <v>19.610449585302359</v>
      </c>
      <c r="C3">
        <v>40</v>
      </c>
    </row>
    <row r="5" spans="1:3" x14ac:dyDescent="0.3">
      <c r="A5" t="s">
        <v>33</v>
      </c>
      <c r="B5" t="s">
        <v>33</v>
      </c>
    </row>
    <row r="6" spans="1:3" x14ac:dyDescent="0.3">
      <c r="A6">
        <f>1/control!B12*COS(control!C12/180*PI())</f>
        <v>-2.5000000000000001E-3</v>
      </c>
      <c r="B6">
        <f>1/control!B12*SIN(control!C12/180*PI())</f>
        <v>-3.0628711372715502E-19</v>
      </c>
    </row>
    <row r="7" spans="1:3" x14ac:dyDescent="0.3">
      <c r="A7">
        <f>-(A6+A8)</f>
        <v>2.5000000000000001E-3</v>
      </c>
      <c r="B7">
        <f>-(B6+B8)</f>
        <v>2.5000000000000005E-3</v>
      </c>
      <c r="C7">
        <f>SQRT(A7^2+B7^2)</f>
        <v>3.5355339059327381E-3</v>
      </c>
    </row>
    <row r="8" spans="1:3" x14ac:dyDescent="0.3">
      <c r="A8">
        <f>1/control!B14*COS(control!C14/180*PI())</f>
        <v>1.5314355686357751E-19</v>
      </c>
      <c r="B8">
        <f>1/control!B14*SIN(control!C14/180*PI())</f>
        <v>-2.5000000000000001E-3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control</vt:lpstr>
      <vt:lpstr>k1</vt:lpstr>
      <vt:lpstr>k2</vt:lpstr>
      <vt:lpstr>k3</vt:lpstr>
      <vt:lpstr>layout</vt:lpstr>
      <vt:lpstr>Sellmeier</vt:lpstr>
      <vt:lpstr>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林國豐(kuofeng.lin)</dc:creator>
  <cp:lastModifiedBy>林國豐</cp:lastModifiedBy>
  <dcterms:created xsi:type="dcterms:W3CDTF">2024-06-13T02:55:22Z</dcterms:created>
  <dcterms:modified xsi:type="dcterms:W3CDTF">2025-06-08T17:34:06Z</dcterms:modified>
</cp:coreProperties>
</file>